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D895" lockStructure="1"/>
  <bookViews>
    <workbookView xWindow="780" yWindow="30" windowWidth="18990" windowHeight="13380"/>
  </bookViews>
  <sheets>
    <sheet name="Accountabilities" sheetId="1" r:id="rId1"/>
    <sheet name="District Data" sheetId="14" state="hidden" r:id="rId2"/>
    <sheet name="Compare Old vs New" sheetId="18" r:id="rId3"/>
  </sheets>
  <externalReferences>
    <externalReference r:id="rId4"/>
  </externalReferences>
  <definedNames>
    <definedName name="_xlnm._FilterDatabase" localSheetId="1" hidden="1">'District Data'!$A$2:$Q$154</definedName>
    <definedName name="_Key1" hidden="1">'District Data'!#REF!</definedName>
    <definedName name="_Order1" hidden="1">255</definedName>
    <definedName name="_Sort" hidden="1">'District Data'!$A$3:$C$154</definedName>
    <definedName name="District">[1]Sheet2!$B$3:$B$152</definedName>
    <definedName name="DistrictName">'District Data'!$B$3:$B$154</definedName>
    <definedName name="_xlnm.Print_Area" localSheetId="0">Accountabilities!$A$1:$F$39</definedName>
    <definedName name="_xlnm.Print_Area" localSheetId="1">'District Data'!$C$3:$C$28</definedName>
    <definedName name="Print_Area_MI" localSheetId="1">'District Data'!$A$3:$C$154</definedName>
    <definedName name="_xlnm.Print_Titles" localSheetId="1">'District Data'!$A:$B,'District Data'!#REF!</definedName>
    <definedName name="Print_Titles_MI" localSheetId="1">'District Data'!#REF!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1" i="18" l="1"/>
  <c r="L73" i="14"/>
  <c r="M73" i="14"/>
  <c r="B8" i="18"/>
  <c r="F13" i="18"/>
  <c r="B5" i="18"/>
  <c r="B12" i="18"/>
  <c r="B13" i="18"/>
  <c r="B14" i="18"/>
  <c r="B15" i="18"/>
  <c r="C15" i="18"/>
  <c r="C14" i="18"/>
  <c r="B4" i="18"/>
  <c r="C13" i="18"/>
  <c r="B6" i="18"/>
  <c r="D12" i="18"/>
  <c r="B3" i="18"/>
  <c r="C12" i="18"/>
  <c r="D13" i="18"/>
  <c r="D14" i="18"/>
  <c r="G73" i="14"/>
  <c r="B7" i="18"/>
  <c r="E14" i="18"/>
  <c r="F14" i="18"/>
  <c r="D15" i="18"/>
  <c r="E15" i="18"/>
  <c r="F15" i="18"/>
  <c r="B16" i="18"/>
  <c r="C16" i="18"/>
  <c r="D16" i="18"/>
  <c r="E16" i="18"/>
  <c r="F16" i="18"/>
  <c r="E13" i="18"/>
  <c r="A21" i="18"/>
  <c r="E12" i="18"/>
  <c r="L106" i="14"/>
  <c r="M106" i="14"/>
  <c r="G106" i="14"/>
  <c r="F1" i="1"/>
  <c r="B12" i="1" s="1"/>
  <c r="B19" i="1" s="1"/>
  <c r="L38" i="14"/>
  <c r="M38" i="14"/>
  <c r="L15" i="14"/>
  <c r="M15" i="14"/>
  <c r="L16" i="14"/>
  <c r="M16" i="14"/>
  <c r="L9" i="14"/>
  <c r="M9" i="14"/>
  <c r="B18" i="1"/>
  <c r="E16" i="1"/>
  <c r="E18" i="1" s="1"/>
  <c r="E17" i="1"/>
  <c r="E22" i="1"/>
  <c r="G9" i="14"/>
  <c r="G16" i="14"/>
  <c r="L3" i="14"/>
  <c r="M3" i="14"/>
  <c r="L4" i="14"/>
  <c r="M4" i="14"/>
  <c r="L5" i="14"/>
  <c r="M5" i="14"/>
  <c r="L6" i="14"/>
  <c r="M6" i="14"/>
  <c r="L7" i="14"/>
  <c r="M7" i="14"/>
  <c r="L8" i="14"/>
  <c r="M8" i="14"/>
  <c r="L10" i="14"/>
  <c r="M10" i="14"/>
  <c r="L11" i="14"/>
  <c r="M11" i="14"/>
  <c r="L12" i="14"/>
  <c r="M12" i="14"/>
  <c r="L13" i="14"/>
  <c r="M13" i="14"/>
  <c r="L14" i="14"/>
  <c r="M14" i="14"/>
  <c r="L17" i="14"/>
  <c r="M17" i="14"/>
  <c r="L18" i="14"/>
  <c r="M18" i="14"/>
  <c r="L19" i="14"/>
  <c r="M19" i="14"/>
  <c r="L20" i="14"/>
  <c r="M20" i="14"/>
  <c r="L21" i="14"/>
  <c r="M21" i="14"/>
  <c r="L22" i="14"/>
  <c r="M22" i="14"/>
  <c r="L23" i="14"/>
  <c r="M23" i="14"/>
  <c r="L24" i="14"/>
  <c r="M24" i="14"/>
  <c r="L25" i="14"/>
  <c r="M25" i="14"/>
  <c r="L26" i="14"/>
  <c r="M26" i="14"/>
  <c r="L27" i="14"/>
  <c r="M27" i="14"/>
  <c r="L28" i="14"/>
  <c r="M28" i="14"/>
  <c r="L29" i="14"/>
  <c r="M29" i="14"/>
  <c r="L30" i="14"/>
  <c r="M30" i="14"/>
  <c r="L31" i="14"/>
  <c r="M31" i="14"/>
  <c r="L33" i="14"/>
  <c r="M33" i="14"/>
  <c r="L34" i="14"/>
  <c r="M34" i="14"/>
  <c r="L35" i="14"/>
  <c r="M35" i="14"/>
  <c r="L36" i="14"/>
  <c r="M36" i="14"/>
  <c r="L37" i="14"/>
  <c r="M37" i="14"/>
  <c r="L39" i="14"/>
  <c r="M39" i="14"/>
  <c r="L40" i="14"/>
  <c r="M40" i="14"/>
  <c r="L41" i="14"/>
  <c r="M41" i="14"/>
  <c r="L42" i="14"/>
  <c r="M42" i="14"/>
  <c r="L43" i="14"/>
  <c r="M43" i="14"/>
  <c r="L44" i="14"/>
  <c r="M44" i="14"/>
  <c r="L45" i="14"/>
  <c r="M45" i="14"/>
  <c r="L46" i="14"/>
  <c r="M46" i="14"/>
  <c r="L47" i="14"/>
  <c r="M47" i="14"/>
  <c r="L48" i="14"/>
  <c r="M48" i="14"/>
  <c r="L49" i="14"/>
  <c r="M49" i="14"/>
  <c r="L50" i="14"/>
  <c r="M50" i="14"/>
  <c r="L51" i="14"/>
  <c r="M51" i="14"/>
  <c r="L52" i="14"/>
  <c r="M52" i="14"/>
  <c r="L53" i="14"/>
  <c r="M53" i="14"/>
  <c r="L54" i="14"/>
  <c r="M54" i="14"/>
  <c r="L55" i="14"/>
  <c r="M55" i="14"/>
  <c r="L56" i="14"/>
  <c r="M56" i="14"/>
  <c r="L57" i="14"/>
  <c r="M57" i="14"/>
  <c r="L58" i="14"/>
  <c r="M58" i="14"/>
  <c r="L59" i="14"/>
  <c r="M59" i="14"/>
  <c r="L60" i="14"/>
  <c r="M60" i="14"/>
  <c r="L61" i="14"/>
  <c r="M61" i="14"/>
  <c r="L62" i="14"/>
  <c r="M62" i="14"/>
  <c r="L63" i="14"/>
  <c r="M63" i="14"/>
  <c r="L64" i="14"/>
  <c r="M64" i="14"/>
  <c r="L65" i="14"/>
  <c r="M65" i="14"/>
  <c r="L66" i="14"/>
  <c r="M66" i="14"/>
  <c r="L67" i="14"/>
  <c r="M67" i="14"/>
  <c r="L68" i="14"/>
  <c r="M68" i="14"/>
  <c r="L69" i="14"/>
  <c r="M69" i="14"/>
  <c r="L70" i="14"/>
  <c r="M70" i="14"/>
  <c r="L71" i="14"/>
  <c r="M71" i="14"/>
  <c r="L72" i="14"/>
  <c r="M72" i="14"/>
  <c r="L74" i="14"/>
  <c r="M74" i="14"/>
  <c r="L75" i="14"/>
  <c r="M75" i="14"/>
  <c r="L76" i="14"/>
  <c r="M76" i="14"/>
  <c r="L77" i="14"/>
  <c r="M77" i="14"/>
  <c r="L78" i="14"/>
  <c r="M78" i="14"/>
  <c r="L79" i="14"/>
  <c r="M79" i="14"/>
  <c r="L80" i="14"/>
  <c r="M80" i="14"/>
  <c r="L81" i="14"/>
  <c r="M81" i="14"/>
  <c r="L82" i="14"/>
  <c r="M82" i="14"/>
  <c r="L83" i="14"/>
  <c r="M83" i="14"/>
  <c r="L84" i="14"/>
  <c r="M84" i="14"/>
  <c r="L85" i="14"/>
  <c r="M85" i="14"/>
  <c r="L86" i="14"/>
  <c r="M86" i="14"/>
  <c r="L87" i="14"/>
  <c r="M87" i="14"/>
  <c r="L88" i="14"/>
  <c r="M88" i="14"/>
  <c r="L89" i="14"/>
  <c r="M89" i="14"/>
  <c r="L90" i="14"/>
  <c r="M90" i="14"/>
  <c r="L91" i="14"/>
  <c r="M91" i="14"/>
  <c r="L92" i="14"/>
  <c r="M92" i="14"/>
  <c r="L93" i="14"/>
  <c r="M93" i="14"/>
  <c r="L94" i="14"/>
  <c r="M94" i="14"/>
  <c r="L95" i="14"/>
  <c r="M95" i="14"/>
  <c r="L96" i="14"/>
  <c r="M96" i="14"/>
  <c r="L97" i="14"/>
  <c r="M97" i="14"/>
  <c r="L98" i="14"/>
  <c r="M98" i="14"/>
  <c r="L99" i="14"/>
  <c r="M99" i="14"/>
  <c r="L100" i="14"/>
  <c r="M100" i="14"/>
  <c r="L101" i="14"/>
  <c r="M101" i="14"/>
  <c r="L102" i="14"/>
  <c r="M102" i="14"/>
  <c r="L103" i="14"/>
  <c r="M103" i="14"/>
  <c r="L104" i="14"/>
  <c r="M104" i="14"/>
  <c r="L105" i="14"/>
  <c r="M105" i="14"/>
  <c r="L107" i="14"/>
  <c r="M107" i="14"/>
  <c r="L108" i="14"/>
  <c r="M108" i="14"/>
  <c r="L109" i="14"/>
  <c r="M109" i="14"/>
  <c r="L110" i="14"/>
  <c r="M110" i="14"/>
  <c r="J111" i="14"/>
  <c r="L111" i="14"/>
  <c r="M111" i="14"/>
  <c r="L112" i="14"/>
  <c r="M112" i="14"/>
  <c r="J113" i="14"/>
  <c r="L113" i="14"/>
  <c r="M113" i="14"/>
  <c r="L114" i="14"/>
  <c r="M114" i="14"/>
  <c r="L115" i="14"/>
  <c r="M115" i="14"/>
  <c r="L116" i="14"/>
  <c r="M116" i="14"/>
  <c r="L117" i="14"/>
  <c r="M117" i="14"/>
  <c r="L118" i="14"/>
  <c r="M118" i="14"/>
  <c r="L119" i="14"/>
  <c r="M119" i="14"/>
  <c r="L120" i="14"/>
  <c r="M120" i="14"/>
  <c r="L121" i="14"/>
  <c r="M121" i="14"/>
  <c r="L122" i="14"/>
  <c r="M122" i="14"/>
  <c r="L123" i="14"/>
  <c r="M123" i="14"/>
  <c r="L124" i="14"/>
  <c r="M124" i="14"/>
  <c r="L125" i="14"/>
  <c r="M125" i="14"/>
  <c r="L126" i="14"/>
  <c r="M126" i="14"/>
  <c r="L127" i="14"/>
  <c r="M127" i="14"/>
  <c r="L128" i="14"/>
  <c r="M128" i="14"/>
  <c r="L130" i="14"/>
  <c r="M130" i="14"/>
  <c r="L131" i="14"/>
  <c r="M131" i="14"/>
  <c r="L132" i="14"/>
  <c r="M132" i="14"/>
  <c r="L133" i="14"/>
  <c r="M133" i="14"/>
  <c r="L134" i="14"/>
  <c r="M134" i="14"/>
  <c r="L135" i="14"/>
  <c r="M135" i="14"/>
  <c r="L136" i="14"/>
  <c r="M136" i="14"/>
  <c r="L137" i="14"/>
  <c r="M137" i="14"/>
  <c r="L138" i="14"/>
  <c r="M138" i="14"/>
  <c r="L139" i="14"/>
  <c r="M139" i="14"/>
  <c r="L140" i="14"/>
  <c r="M140" i="14"/>
  <c r="L141" i="14"/>
  <c r="M141" i="14"/>
  <c r="L142" i="14"/>
  <c r="M142" i="14"/>
  <c r="L143" i="14"/>
  <c r="M143" i="14"/>
  <c r="L144" i="14"/>
  <c r="M144" i="14"/>
  <c r="L145" i="14"/>
  <c r="M145" i="14"/>
  <c r="L146" i="14"/>
  <c r="M146" i="14"/>
  <c r="L147" i="14"/>
  <c r="M147" i="14"/>
  <c r="L148" i="14"/>
  <c r="M148" i="14"/>
  <c r="L149" i="14"/>
  <c r="M149" i="14"/>
  <c r="L150" i="14"/>
  <c r="M150" i="14"/>
  <c r="L151" i="14"/>
  <c r="M151" i="14"/>
  <c r="L152" i="14"/>
  <c r="M152" i="14"/>
  <c r="L153" i="14"/>
  <c r="M153" i="14"/>
  <c r="L154" i="14"/>
  <c r="M154" i="14"/>
  <c r="N156" i="14"/>
  <c r="H3" i="14"/>
  <c r="H24" i="14"/>
  <c r="H77" i="14"/>
  <c r="H112" i="14"/>
  <c r="H115" i="14"/>
  <c r="H121" i="14"/>
  <c r="H122" i="14"/>
  <c r="H133" i="14"/>
  <c r="H156" i="14"/>
  <c r="N157" i="14"/>
  <c r="Q156" i="14"/>
  <c r="P156" i="14"/>
  <c r="O156" i="14"/>
  <c r="G3" i="14"/>
  <c r="G4" i="14"/>
  <c r="G5" i="14"/>
  <c r="G6" i="14"/>
  <c r="G7" i="14"/>
  <c r="G8" i="14"/>
  <c r="G10" i="14"/>
  <c r="G11" i="14"/>
  <c r="G12" i="14"/>
  <c r="G13" i="14"/>
  <c r="G14" i="14"/>
  <c r="G15" i="14"/>
  <c r="G17" i="14"/>
  <c r="G18" i="14"/>
  <c r="G19" i="14"/>
  <c r="G20" i="14"/>
  <c r="G21" i="14"/>
  <c r="G22" i="14"/>
  <c r="G23" i="14"/>
  <c r="G24" i="14"/>
  <c r="G25" i="14"/>
  <c r="G26" i="14"/>
  <c r="G27" i="14"/>
  <c r="G28" i="14"/>
  <c r="G29" i="14"/>
  <c r="G30" i="14"/>
  <c r="G31"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7" i="14"/>
  <c r="G108" i="14"/>
  <c r="G109" i="14"/>
  <c r="G110" i="14"/>
  <c r="G111" i="14"/>
  <c r="G112" i="14"/>
  <c r="G113" i="14"/>
  <c r="G114" i="14"/>
  <c r="G115" i="14"/>
  <c r="G116" i="14"/>
  <c r="G117" i="14"/>
  <c r="G118" i="14"/>
  <c r="G119" i="14"/>
  <c r="G120" i="14"/>
  <c r="G121" i="14"/>
  <c r="G122" i="14"/>
  <c r="G123" i="14"/>
  <c r="G124" i="14"/>
  <c r="G125" i="14"/>
  <c r="G126" i="14"/>
  <c r="G127" i="14"/>
  <c r="G128"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L32" i="14"/>
  <c r="M32" i="14"/>
  <c r="M156" i="14"/>
  <c r="K46" i="14"/>
  <c r="K72" i="14"/>
  <c r="K75" i="14"/>
  <c r="K86" i="14"/>
  <c r="L129" i="14"/>
  <c r="J156" i="14"/>
  <c r="I156" i="14"/>
  <c r="G32" i="14"/>
  <c r="G129" i="14"/>
  <c r="G156" i="14"/>
  <c r="F156" i="14"/>
  <c r="E156" i="14"/>
  <c r="B23" i="1" l="1"/>
  <c r="B25" i="1" s="1"/>
  <c r="D39" i="1"/>
  <c r="E10" i="1"/>
  <c r="E12" i="1" s="1"/>
  <c r="E29" i="1"/>
  <c r="B10" i="1"/>
  <c r="B11" i="1" s="1"/>
  <c r="E27" i="1"/>
  <c r="E13" i="1" l="1"/>
  <c r="E19" i="1" s="1"/>
  <c r="E23" i="1" l="1"/>
  <c r="E25" i="1" s="1"/>
  <c r="E26" i="1" s="1"/>
  <c r="E28" i="1" s="1"/>
  <c r="E30" i="1" s="1"/>
  <c r="E33" i="1" l="1"/>
  <c r="E34" i="1" s="1"/>
  <c r="E36" i="1" s="1"/>
  <c r="E31" i="1"/>
</calcChain>
</file>

<file path=xl/comments1.xml><?xml version="1.0" encoding="utf-8"?>
<comments xmlns="http://schemas.openxmlformats.org/spreadsheetml/2006/main">
  <authors>
    <author>Leiferman, Bobbi</author>
    <author>Woodmansey, Susan</author>
    <author>Darnall, Tamara</author>
  </authors>
  <commentList>
    <comment ref="O58" authorId="0">
      <text>
        <r>
          <rPr>
            <sz val="9"/>
            <color indexed="81"/>
            <rFont val="Tahoma"/>
            <family val="2"/>
          </rPr>
          <t>Includes 23.75 Our Home Students</t>
        </r>
      </text>
    </comment>
    <comment ref="P58" authorId="0">
      <text>
        <r>
          <rPr>
            <sz val="9"/>
            <color indexed="81"/>
            <rFont val="Tahoma"/>
            <family val="2"/>
          </rPr>
          <t>Includes 20.33 Our Home Students</t>
        </r>
      </text>
    </comment>
    <comment ref="Q58" authorId="0">
      <text>
        <r>
          <rPr>
            <sz val="9"/>
            <color indexed="81"/>
            <rFont val="Tahoma"/>
            <family val="2"/>
          </rPr>
          <t>Includes 21.20 Our Home Students</t>
        </r>
      </text>
    </comment>
    <comment ref="J111" authorId="1">
      <text>
        <r>
          <rPr>
            <b/>
            <sz val="9"/>
            <color indexed="81"/>
            <rFont val="Tahoma"/>
            <charset val="1"/>
          </rPr>
          <t>Woodmansey, Susan:</t>
        </r>
        <r>
          <rPr>
            <sz val="9"/>
            <color indexed="81"/>
            <rFont val="Tahoma"/>
            <charset val="1"/>
          </rPr>
          <t xml:space="preserve">
Adjusted forOH
in Fall 2015
</t>
        </r>
      </text>
    </comment>
    <comment ref="M111" authorId="2">
      <text>
        <r>
          <rPr>
            <b/>
            <sz val="9"/>
            <color indexed="81"/>
            <rFont val="Tahoma"/>
            <family val="2"/>
          </rPr>
          <t>Darnall, Tamara:</t>
        </r>
        <r>
          <rPr>
            <sz val="9"/>
            <color indexed="81"/>
            <rFont val="Tahoma"/>
            <family val="2"/>
          </rPr>
          <t xml:space="preserve">
adj for SDCL 13-13-10.1, 2C</t>
        </r>
      </text>
    </comment>
    <comment ref="J113" authorId="1">
      <text>
        <r>
          <rPr>
            <b/>
            <sz val="9"/>
            <color indexed="81"/>
            <rFont val="Tahoma"/>
            <charset val="1"/>
          </rPr>
          <t>Woodmansey, Susan:</t>
        </r>
        <r>
          <rPr>
            <sz val="9"/>
            <color indexed="81"/>
            <rFont val="Tahoma"/>
            <charset val="1"/>
          </rPr>
          <t xml:space="preserve">
Adjusted for APA
 - Fall 2015</t>
        </r>
      </text>
    </comment>
    <comment ref="M113" authorId="2">
      <text>
        <r>
          <rPr>
            <b/>
            <sz val="9"/>
            <color indexed="81"/>
            <rFont val="Tahoma"/>
            <family val="2"/>
          </rPr>
          <t>Darnall, Tamara:</t>
        </r>
        <r>
          <rPr>
            <sz val="9"/>
            <color indexed="81"/>
            <rFont val="Tahoma"/>
            <family val="2"/>
          </rPr>
          <t xml:space="preserve">
adj for SDCL 13-13-10.1, 2C</t>
        </r>
      </text>
    </comment>
    <comment ref="O135" authorId="0">
      <text>
        <r>
          <rPr>
            <sz val="9"/>
            <color indexed="81"/>
            <rFont val="Tahoma"/>
            <family val="2"/>
          </rPr>
          <t>Includes 54 APA students</t>
        </r>
      </text>
    </comment>
    <comment ref="P135" authorId="0">
      <text>
        <r>
          <rPr>
            <sz val="9"/>
            <color indexed="81"/>
            <rFont val="Tahoma"/>
            <family val="2"/>
          </rPr>
          <t>Includes 55 APA students</t>
        </r>
      </text>
    </comment>
    <comment ref="Q135" authorId="0">
      <text>
        <r>
          <rPr>
            <sz val="9"/>
            <color indexed="81"/>
            <rFont val="Tahoma"/>
            <family val="2"/>
          </rPr>
          <t>Includes 53 APA students</t>
        </r>
      </text>
    </comment>
  </commentList>
</comments>
</file>

<file path=xl/sharedStrings.xml><?xml version="1.0" encoding="utf-8"?>
<sst xmlns="http://schemas.openxmlformats.org/spreadsheetml/2006/main" count="396" uniqueCount="227">
  <si>
    <t xml:space="preserve"> </t>
  </si>
  <si>
    <t>District No.</t>
  </si>
  <si>
    <t>District Size</t>
  </si>
  <si>
    <t>Teacher Ratio Range</t>
  </si>
  <si>
    <t>Target Student to Teacher Ratio</t>
  </si>
  <si>
    <t>State Aid Share for Non-Teacher Expenses</t>
  </si>
  <si>
    <t>State Aid Total Need</t>
  </si>
  <si>
    <t>Number of Eligible LEP Students</t>
  </si>
  <si>
    <t>X LEP Weight</t>
  </si>
  <si>
    <t>LEP Adjustment</t>
  </si>
  <si>
    <t>Weighted LEP Student Count</t>
  </si>
  <si>
    <t>LEP Adjustment Teachers</t>
  </si>
  <si>
    <t>Calculation for LEP Teacher Salary/Benefit Need:</t>
  </si>
  <si>
    <t>School District</t>
  </si>
  <si>
    <t>ANDES CENTRAL</t>
  </si>
  <si>
    <t>BENNETT COUNTY</t>
  </si>
  <si>
    <t>EAGLE BUTTE</t>
  </si>
  <si>
    <t>SOUTH CENTRAL</t>
  </si>
  <si>
    <t>TIMBER LAKE</t>
  </si>
  <si>
    <t>WAGNER COMMUNITY</t>
  </si>
  <si>
    <t>SMEE</t>
  </si>
  <si>
    <t>TODD COUNTY</t>
  </si>
  <si>
    <t>WHITE RIVER</t>
  </si>
  <si>
    <t>PLANKINTON</t>
  </si>
  <si>
    <t>BIG STONE CITY</t>
  </si>
  <si>
    <t>TEA AREA</t>
  </si>
  <si>
    <t>HERREID</t>
  </si>
  <si>
    <t>KADOKA AREA</t>
  </si>
  <si>
    <t>DUPREE</t>
  </si>
  <si>
    <t>IROQUOIS</t>
  </si>
  <si>
    <t>HOVEN</t>
  </si>
  <si>
    <t>SISSETON PUBLIC</t>
  </si>
  <si>
    <t>SIOUX FALLS</t>
  </si>
  <si>
    <t>BALTIC</t>
  </si>
  <si>
    <t>BOWDLE</t>
  </si>
  <si>
    <t>JONES COUNTY</t>
  </si>
  <si>
    <t>BURKE</t>
  </si>
  <si>
    <t>WARNER</t>
  </si>
  <si>
    <t>LENNOX</t>
  </si>
  <si>
    <t>GAYVILLE-VOLIN</t>
  </si>
  <si>
    <t>ETHAN</t>
  </si>
  <si>
    <t>CASTLEWOOD</t>
  </si>
  <si>
    <t>WILMOT</t>
  </si>
  <si>
    <t>CENTERVILLE</t>
  </si>
  <si>
    <t>HARRISBURG</t>
  </si>
  <si>
    <t>ALCESTER-HUDSON</t>
  </si>
  <si>
    <t>PARKSTON</t>
  </si>
  <si>
    <t>ELK POINT-JEFFERSON</t>
  </si>
  <si>
    <t>DE SMET</t>
  </si>
  <si>
    <t>CHESTER AREA</t>
  </si>
  <si>
    <t>ARMOUR</t>
  </si>
  <si>
    <t>FLANDREAU</t>
  </si>
  <si>
    <t>GETTYSBURG</t>
  </si>
  <si>
    <t>CHAMBERLAIN</t>
  </si>
  <si>
    <t>LEMMON</t>
  </si>
  <si>
    <t>SUMMIT</t>
  </si>
  <si>
    <t>CANTON</t>
  </si>
  <si>
    <t>HAAKON</t>
  </si>
  <si>
    <t>TRIPP-DELMONT</t>
  </si>
  <si>
    <t>WEBSTER</t>
  </si>
  <si>
    <t>CLARK</t>
  </si>
  <si>
    <t>WOONSOCKET</t>
  </si>
  <si>
    <t>WAUBAY</t>
  </si>
  <si>
    <t>AVON</t>
  </si>
  <si>
    <t>WALL</t>
  </si>
  <si>
    <t>BON HOMME</t>
  </si>
  <si>
    <t>HAMLIN</t>
  </si>
  <si>
    <t>REDFIELD</t>
  </si>
  <si>
    <t>WHITE LAKE</t>
  </si>
  <si>
    <t>NORTHWESTERN AREA</t>
  </si>
  <si>
    <t>ESTELLINE</t>
  </si>
  <si>
    <t>WILLOW LAKE</t>
  </si>
  <si>
    <t>MONTROSE</t>
  </si>
  <si>
    <t>LANGFORD</t>
  </si>
  <si>
    <t>MOUNT VERNON</t>
  </si>
  <si>
    <t>KIMBALL</t>
  </si>
  <si>
    <t>LYMAN</t>
  </si>
  <si>
    <t>CANISTOTA</t>
  </si>
  <si>
    <t>COLMAN-EGAN</t>
  </si>
  <si>
    <t>HANSON</t>
  </si>
  <si>
    <t>GROTON AREA</t>
  </si>
  <si>
    <t>ARLINGTON</t>
  </si>
  <si>
    <t>ROSHOLT</t>
  </si>
  <si>
    <t>RUTLAND</t>
  </si>
  <si>
    <t>BRITTON - HECLA</t>
  </si>
  <si>
    <t>SCOTLAND</t>
  </si>
  <si>
    <t>LEAD-DEADWOOD</t>
  </si>
  <si>
    <t>COLOME CONSOLIDATED</t>
  </si>
  <si>
    <t>DEUEL</t>
  </si>
  <si>
    <t>WINNER</t>
  </si>
  <si>
    <t>SANBORN CENTRAL</t>
  </si>
  <si>
    <t>MENNO</t>
  </si>
  <si>
    <t>MARION</t>
  </si>
  <si>
    <t>FREEMAN</t>
  </si>
  <si>
    <t>HILL CITY</t>
  </si>
  <si>
    <t>DOLAND</t>
  </si>
  <si>
    <t>BISON</t>
  </si>
  <si>
    <t>AGAR - BLUNT - ONIDA</t>
  </si>
  <si>
    <t>EUREKA</t>
  </si>
  <si>
    <t>STANLEY COUNTY</t>
  </si>
  <si>
    <t>FREDERICK AREA</t>
  </si>
  <si>
    <t>HOWARD</t>
  </si>
  <si>
    <t>EDMUNDS CENTRAL</t>
  </si>
  <si>
    <t>LAKE PRESTON</t>
  </si>
  <si>
    <t>MILLER AREA</t>
  </si>
  <si>
    <t>IRENE - WAKONDA</t>
  </si>
  <si>
    <t>ELK MOUNTAIN</t>
  </si>
  <si>
    <t>LEOLA</t>
  </si>
  <si>
    <t>WESSINGTON SPRINGS</t>
  </si>
  <si>
    <t>OLDHAM-RAMONA</t>
  </si>
  <si>
    <t>GRANT-DEUEL</t>
  </si>
  <si>
    <t>SELBY AREA</t>
  </si>
  <si>
    <t>DOUGLAS</t>
  </si>
  <si>
    <t>MOBRIDGE - POLLOCK</t>
  </si>
  <si>
    <t>BELLE FOURCHE</t>
  </si>
  <si>
    <t>WEST CENTRAL</t>
  </si>
  <si>
    <t>NEW UNDERWOOD</t>
  </si>
  <si>
    <t>OELRICHS</t>
  </si>
  <si>
    <t>BRANDON VALLEY</t>
  </si>
  <si>
    <t>PIERRE</t>
  </si>
  <si>
    <t>MITCHELL</t>
  </si>
  <si>
    <t>HURON</t>
  </si>
  <si>
    <t>BROOKINGS</t>
  </si>
  <si>
    <t>YANKTON</t>
  </si>
  <si>
    <t>HOT SPRINGS</t>
  </si>
  <si>
    <t>FAITH</t>
  </si>
  <si>
    <t>RAPID CITY</t>
  </si>
  <si>
    <t>GARRETSON</t>
  </si>
  <si>
    <t>WATERTOWN</t>
  </si>
  <si>
    <t>ABERDEEN</t>
  </si>
  <si>
    <t>VERMILLION</t>
  </si>
  <si>
    <t>DAKOTA VALLEY</t>
  </si>
  <si>
    <t>HENRY</t>
  </si>
  <si>
    <t>DELL RAPIDS</t>
  </si>
  <si>
    <t>FLORENCE</t>
  </si>
  <si>
    <t>SPEARFISH</t>
  </si>
  <si>
    <t>TRI-VALLEY</t>
  </si>
  <si>
    <t>SIOUX VALLEY</t>
  </si>
  <si>
    <t>NEWELL</t>
  </si>
  <si>
    <t>MEADE</t>
  </si>
  <si>
    <t>GREGORY</t>
  </si>
  <si>
    <t>BERESFORD</t>
  </si>
  <si>
    <t>MILBANK</t>
  </si>
  <si>
    <t>PARKER</t>
  </si>
  <si>
    <t>EDGEMONT</t>
  </si>
  <si>
    <t>WAVERLY</t>
  </si>
  <si>
    <t>DEUBROOK AREA</t>
  </si>
  <si>
    <t>CUSTER</t>
  </si>
  <si>
    <t>ELKTON</t>
  </si>
  <si>
    <t>HARDING COUNTY</t>
  </si>
  <si>
    <t>Pay 2015</t>
  </si>
  <si>
    <t>BRIDGEWATER-EMERY</t>
  </si>
  <si>
    <t>FAULKTON AREA</t>
  </si>
  <si>
    <t>HIGHMORE-HARROLD</t>
  </si>
  <si>
    <t>HITCHCOCK-TULARE</t>
  </si>
  <si>
    <t>IPSWICH</t>
  </si>
  <si>
    <t>MADISON  CENTRAL</t>
  </si>
  <si>
    <t>MCCOOK CENTRAL</t>
  </si>
  <si>
    <t>MCINTOSH</t>
  </si>
  <si>
    <t>MCLAUGHLIN</t>
  </si>
  <si>
    <t>PLATTE-GEDDES</t>
  </si>
  <si>
    <t>VIBORG-HURLEY</t>
  </si>
  <si>
    <t>WOLSEY-WESSINGTON</t>
  </si>
  <si>
    <t>Overhead Costs</t>
  </si>
  <si>
    <t>Formula Number of Certified Instructional Staff FTE:</t>
  </si>
  <si>
    <t>State Aid Fall Enrollment Count</t>
  </si>
  <si>
    <t>Formula Number of Certified Instructional Staff FTE</t>
  </si>
  <si>
    <t>Formula Certified Instructional Staff Salary/Benefit Need:</t>
  </si>
  <si>
    <t>Target Certified Instructional Staff Salary</t>
  </si>
  <si>
    <t>Target Certified Instructional Staff Salaries + Benefits</t>
  </si>
  <si>
    <t>Need based on Certified Instructional Staff Salaries/Benefits</t>
  </si>
  <si>
    <t>TOTAL STATE AID NEED</t>
  </si>
  <si>
    <t xml:space="preserve">FY2016 Pension Revenues </t>
  </si>
  <si>
    <t>FY2016 General State Need (including LEP adjustment)</t>
  </si>
  <si>
    <t>FY2016 Average Teacher Salary &amp; Benefits</t>
  </si>
  <si>
    <t>Percentage Increase of New Funding for FY2017 (over base year FY2016)</t>
  </si>
  <si>
    <t>Target Average Teacher Compensation for FY2017</t>
  </si>
  <si>
    <t>Pay 2016</t>
  </si>
  <si>
    <t>FY2016</t>
  </si>
  <si>
    <t>Pension Levy</t>
  </si>
  <si>
    <t>Total Taxable Valuation</t>
  </si>
  <si>
    <t>Total Pension Property Tax, FY2016</t>
  </si>
  <si>
    <t>CORSICA-STICKNEY</t>
  </si>
  <si>
    <t xml:space="preserve">OGLALA LAKOTA </t>
  </si>
  <si>
    <t xml:space="preserve">FY2016  </t>
  </si>
  <si>
    <t xml:space="preserve">LEP Student Count </t>
  </si>
  <si>
    <t>FALL 2015 SAFE</t>
  </si>
  <si>
    <t>X Target Student/Certified Instructional Staff FTE Ratio</t>
  </si>
  <si>
    <t>X % of Overhead Costs</t>
  </si>
  <si>
    <t>X Target Certified Instructional Staff Benefits %</t>
  </si>
  <si>
    <t>Target 85% of Increased Need for Teacher Compensation</t>
  </si>
  <si>
    <t>FY2017 New Money</t>
  </si>
  <si>
    <t>Mandatory Increase in Average Salaries and Benefit (85% of % Increase)</t>
  </si>
  <si>
    <t>General State Aid Need (adj for ARSD 24:17:03:07</t>
  </si>
  <si>
    <t>Minimum Student Teacher Ratio</t>
  </si>
  <si>
    <t>Maximum Student Teacher Ratio</t>
  </si>
  <si>
    <t>FY2017  ACCOUNTABILITY CALCULATOR</t>
  </si>
  <si>
    <t>Calculated Staff FTE Ratio</t>
  </si>
  <si>
    <t>Each district must enter here their FY2016 Average Teacher Salary &amp; Benefit amount.</t>
  </si>
  <si>
    <r>
      <rPr>
        <b/>
        <u/>
        <sz val="10"/>
        <color theme="1"/>
        <rFont val="Ebrima"/>
      </rPr>
      <t>Note</t>
    </r>
    <r>
      <rPr>
        <sz val="10"/>
        <color theme="1"/>
        <rFont val="Ebrima"/>
      </rPr>
      <t>: Districts with very high other revenue collections may choose to opt out of the new formula and choose the alternative local need calculation.   The district will still be required to meet the above accountabilities.</t>
    </r>
  </si>
  <si>
    <r>
      <rPr>
        <b/>
        <u/>
        <sz val="10"/>
        <color theme="1"/>
        <rFont val="Ebrima"/>
      </rPr>
      <t>Note:</t>
    </r>
    <r>
      <rPr>
        <sz val="10"/>
        <color theme="1"/>
        <rFont val="Ebrima"/>
      </rPr>
      <t xml:space="preserve"> This district's local effort exceeded total need in FY2016 and will exceed total need in FY2017 and therefore the district is not subject to accountability requirements.  This district will receive no new state aid, as it already exceeds formula funding received by other districts.</t>
    </r>
  </si>
  <si>
    <t>Adjusted State Aid Need (adjusted for Pension Revenues)</t>
  </si>
  <si>
    <t>Accountabilities Note</t>
  </si>
  <si>
    <t>Total Formula Need</t>
  </si>
  <si>
    <t>2013 State Aid Fall Enrollment</t>
  </si>
  <si>
    <t>2014 State Aid Fall Enrollment</t>
  </si>
  <si>
    <t>2015 State Aid Fall Enrollment</t>
  </si>
  <si>
    <t>2015-16 total need (old formula)</t>
  </si>
  <si>
    <t>2015-16 pension levy revenue</t>
  </si>
  <si>
    <t>Projected inflation</t>
  </si>
  <si>
    <t>Est Fall Enrollment</t>
  </si>
  <si>
    <t>Old enrollment average</t>
  </si>
  <si>
    <t>Old formula</t>
  </si>
  <si>
    <t>Old formula w pension levy</t>
  </si>
  <si>
    <t>New formula</t>
  </si>
  <si>
    <t>SY2015-16</t>
  </si>
  <si>
    <t>SY2016-17</t>
  </si>
  <si>
    <t>SY2017-18</t>
  </si>
  <si>
    <t>SY2018-19</t>
  </si>
  <si>
    <t>SY2019-20</t>
  </si>
  <si>
    <t>Total new money over four years:</t>
  </si>
  <si>
    <t>5 Year Impact Estimate</t>
  </si>
  <si>
    <t>New vs Old Formula - Assuming Flat Enrollment
(Excludes LEP Adjustment)</t>
  </si>
  <si>
    <t>2013 Fall Enrollment (FY2014)</t>
  </si>
  <si>
    <t>2014 Fall Enrollment (FY2015)</t>
  </si>
  <si>
    <t>2015 Fall Enrollment (FY2016)</t>
  </si>
  <si>
    <t>2016-17 total need (new formula)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</si>
</sst>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 numFmtId="167" formatCode="0.0%"/>
    <numFmt numFmtId="168" formatCode="_(* #,##0.000_);_(* \(#,##0.000\);_(* &quot;-&quot;??_);_(@_)"/>
    <numFmt numFmtId="169" formatCode="General_)"/>
    <numFmt numFmtId="170" formatCode="#,##0.000"/>
    <numFmt numFmtId="172" formatCode="0.0"/>
  </numFmts>
  <fonts count="28" x14ac:knownFonts="1">
    <font>
      <sz val="11"/>
      <color theme="1"/>
      <name val="Calibri"/>
      <family val="2"/>
      <scheme val="minor"/>
    </font>
    <font>
      <sz val="11"/>
      <color theme="1"/>
      <name val="Calibri"/>
      <family val="2"/>
      <scheme val="minor"/>
    </font>
    <font>
      <sz val="10"/>
      <color theme="1"/>
      <name val="Ebrima"/>
    </font>
    <font>
      <sz val="14"/>
      <name val="Ebrima"/>
    </font>
    <font>
      <sz val="10"/>
      <name val="Ebrima"/>
    </font>
    <font>
      <sz val="10"/>
      <color indexed="10"/>
      <name val="Ebrima"/>
    </font>
    <font>
      <b/>
      <sz val="10"/>
      <color theme="1"/>
      <name val="Ebrima"/>
    </font>
    <font>
      <b/>
      <sz val="14"/>
      <color theme="1"/>
      <name val="Ebrima"/>
    </font>
    <font>
      <sz val="14"/>
      <color theme="1"/>
      <name val="Ebrima"/>
    </font>
    <font>
      <sz val="11"/>
      <color theme="1"/>
      <name val="Ebrima"/>
    </font>
    <font>
      <b/>
      <sz val="16"/>
      <color theme="1"/>
      <name val="Ebrima"/>
    </font>
    <font>
      <sz val="10"/>
      <name val="Courier"/>
      <family val="3"/>
    </font>
    <font>
      <sz val="10"/>
      <color theme="0"/>
      <name val="Ebrima"/>
    </font>
    <font>
      <sz val="10"/>
      <name val="Arial"/>
      <family val="2"/>
    </font>
    <font>
      <b/>
      <sz val="11"/>
      <color theme="1"/>
      <name val="Ebrima"/>
    </font>
    <font>
      <sz val="16"/>
      <color theme="1"/>
      <name val="Ebrima"/>
    </font>
    <font>
      <b/>
      <u/>
      <sz val="10"/>
      <color theme="1"/>
      <name val="Ebrima"/>
    </font>
    <font>
      <sz val="9"/>
      <color indexed="81"/>
      <name val="Tahoma"/>
      <charset val="1"/>
    </font>
    <font>
      <b/>
      <sz val="9"/>
      <color indexed="81"/>
      <name val="Tahoma"/>
      <charset val="1"/>
    </font>
    <font>
      <sz val="9"/>
      <color theme="1"/>
      <name val="Ebrima"/>
    </font>
    <font>
      <sz val="9"/>
      <color indexed="81"/>
      <name val="Tahoma"/>
      <family val="2"/>
    </font>
    <font>
      <b/>
      <sz val="9"/>
      <color indexed="81"/>
      <name val="Tahoma"/>
      <family val="2"/>
    </font>
    <font>
      <sz val="9"/>
      <color rgb="FF002060"/>
      <name val="Gill Sans MT"/>
      <family val="2"/>
    </font>
    <font>
      <sz val="9"/>
      <color theme="0"/>
      <name val="Gill Sans MT"/>
      <family val="2"/>
    </font>
    <font>
      <sz val="10"/>
      <name val="Gill Sans MT"/>
      <family val="2"/>
    </font>
    <font>
      <sz val="9"/>
      <name val="Gill Sans MT"/>
      <family val="2"/>
    </font>
    <font>
      <sz val="10"/>
      <name val="Sylfaen"/>
      <family val="1"/>
    </font>
    <font>
      <b/>
      <sz val="18"/>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rgb="FFFFC0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2" tint="-0.749992370372631"/>
        <bgColor indexed="64"/>
      </patternFill>
    </fill>
    <fill>
      <patternFill patternType="solid">
        <fgColor theme="3" tint="0.79998168889431442"/>
        <bgColor indexed="64"/>
      </patternFill>
    </fill>
    <fill>
      <patternFill patternType="solid">
        <fgColor rgb="FF002060"/>
        <bgColor indexed="64"/>
      </patternFill>
    </fill>
  </fills>
  <borders count="26">
    <border>
      <left/>
      <right/>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style="thin">
        <color auto="1"/>
      </top>
      <bottom/>
      <diagonal/>
    </border>
    <border>
      <left style="thin">
        <color theme="0" tint="-0.499984740745262"/>
      </left>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9" fontId="11" fillId="0" borderId="0"/>
    <xf numFmtId="43" fontId="13" fillId="0" borderId="0" applyFont="0" applyFill="0" applyBorder="0" applyAlignment="0" applyProtection="0"/>
  </cellStyleXfs>
  <cellXfs count="146">
    <xf numFmtId="0" fontId="0" fillId="0" borderId="0" xfId="0"/>
    <xf numFmtId="0" fontId="2" fillId="0" borderId="0" xfId="0" applyFont="1"/>
    <xf numFmtId="165" fontId="2" fillId="0" borderId="0" xfId="2" applyNumberFormat="1" applyFont="1"/>
    <xf numFmtId="0" fontId="2" fillId="0" borderId="0" xfId="0" applyFont="1" applyFill="1"/>
    <xf numFmtId="165" fontId="2" fillId="0" borderId="0" xfId="2" applyNumberFormat="1" applyFont="1" applyFill="1"/>
    <xf numFmtId="0" fontId="6" fillId="0" borderId="6" xfId="0" applyFont="1" applyFill="1" applyBorder="1"/>
    <xf numFmtId="0" fontId="2" fillId="0" borderId="2" xfId="0" applyFont="1" applyFill="1" applyBorder="1"/>
    <xf numFmtId="0" fontId="2" fillId="0" borderId="0" xfId="0" applyFont="1" applyFill="1" applyBorder="1"/>
    <xf numFmtId="0" fontId="2" fillId="0" borderId="3" xfId="0" applyFont="1" applyFill="1" applyBorder="1"/>
    <xf numFmtId="0" fontId="2" fillId="0" borderId="4" xfId="0" applyFont="1" applyBorder="1"/>
    <xf numFmtId="0" fontId="2" fillId="0" borderId="0" xfId="0" applyFont="1" applyBorder="1"/>
    <xf numFmtId="0" fontId="6" fillId="0" borderId="6" xfId="0" applyFont="1" applyBorder="1"/>
    <xf numFmtId="0" fontId="2" fillId="0" borderId="2" xfId="0" applyFont="1" applyBorder="1"/>
    <xf numFmtId="43" fontId="2" fillId="0" borderId="5" xfId="1" applyNumberFormat="1" applyFont="1" applyFill="1" applyBorder="1"/>
    <xf numFmtId="43" fontId="2" fillId="0" borderId="5" xfId="1" applyNumberFormat="1" applyFont="1" applyBorder="1"/>
    <xf numFmtId="43" fontId="2" fillId="0" borderId="0" xfId="1" applyNumberFormat="1" applyFont="1" applyBorder="1"/>
    <xf numFmtId="0" fontId="2" fillId="0" borderId="9" xfId="0" applyFont="1" applyBorder="1"/>
    <xf numFmtId="44" fontId="2" fillId="0" borderId="0" xfId="2" applyFont="1"/>
    <xf numFmtId="44" fontId="6" fillId="0" borderId="8" xfId="2" applyFont="1" applyBorder="1"/>
    <xf numFmtId="0" fontId="2" fillId="4" borderId="9" xfId="0" applyFont="1" applyFill="1" applyBorder="1"/>
    <xf numFmtId="44" fontId="2" fillId="4" borderId="10" xfId="2" applyFont="1" applyFill="1" applyBorder="1"/>
    <xf numFmtId="167" fontId="2" fillId="6" borderId="3" xfId="2" applyNumberFormat="1" applyFont="1" applyFill="1" applyBorder="1"/>
    <xf numFmtId="167" fontId="2" fillId="0" borderId="0" xfId="3" applyNumberFormat="1" applyFont="1" applyBorder="1"/>
    <xf numFmtId="0" fontId="2" fillId="4" borderId="6" xfId="0" applyFont="1" applyFill="1" applyBorder="1"/>
    <xf numFmtId="44" fontId="2" fillId="0" borderId="0" xfId="2" applyFont="1" applyBorder="1"/>
    <xf numFmtId="44" fontId="2" fillId="0" borderId="0" xfId="0" applyNumberFormat="1" applyFont="1" applyBorder="1"/>
    <xf numFmtId="0" fontId="6" fillId="4" borderId="11" xfId="0" applyFont="1" applyFill="1" applyBorder="1"/>
    <xf numFmtId="0" fontId="8" fillId="0" borderId="0" xfId="0" applyFont="1"/>
    <xf numFmtId="44" fontId="8" fillId="0" borderId="0" xfId="2" applyFont="1"/>
    <xf numFmtId="164" fontId="2" fillId="0" borderId="0" xfId="1" applyNumberFormat="1" applyFont="1" applyFill="1" applyBorder="1"/>
    <xf numFmtId="164" fontId="2" fillId="0" borderId="1" xfId="1" applyNumberFormat="1" applyFont="1" applyFill="1" applyBorder="1"/>
    <xf numFmtId="0" fontId="2" fillId="0" borderId="5" xfId="0" applyFont="1" applyFill="1" applyBorder="1"/>
    <xf numFmtId="9" fontId="2" fillId="6" borderId="5" xfId="2" applyNumberFormat="1" applyFont="1" applyFill="1" applyBorder="1"/>
    <xf numFmtId="0" fontId="6" fillId="0" borderId="7" xfId="0" applyFont="1" applyFill="1" applyBorder="1" applyAlignment="1">
      <alignment horizontal="center" wrapText="1"/>
    </xf>
    <xf numFmtId="9" fontId="2" fillId="6" borderId="3" xfId="2" applyNumberFormat="1" applyFont="1" applyFill="1" applyBorder="1"/>
    <xf numFmtId="164" fontId="2" fillId="0" borderId="3" xfId="1" applyNumberFormat="1" applyFont="1" applyFill="1" applyBorder="1"/>
    <xf numFmtId="0" fontId="9" fillId="0" borderId="0" xfId="0" applyFont="1"/>
    <xf numFmtId="44" fontId="9" fillId="0" borderId="0" xfId="2" applyFont="1"/>
    <xf numFmtId="165" fontId="9" fillId="0" borderId="0" xfId="2" applyNumberFormat="1" applyFont="1"/>
    <xf numFmtId="165" fontId="9" fillId="0" borderId="0" xfId="0" applyNumberFormat="1" applyFont="1"/>
    <xf numFmtId="0" fontId="2" fillId="0" borderId="0" xfId="0" applyFont="1" applyFill="1" applyAlignment="1">
      <alignment horizontal="right"/>
    </xf>
    <xf numFmtId="0" fontId="9" fillId="0" borderId="16" xfId="0" applyFont="1" applyBorder="1"/>
    <xf numFmtId="0" fontId="9" fillId="0" borderId="18" xfId="0" applyFont="1" applyBorder="1"/>
    <xf numFmtId="10" fontId="9" fillId="0" borderId="19" xfId="2" applyNumberFormat="1" applyFont="1" applyBorder="1"/>
    <xf numFmtId="5" fontId="9" fillId="3" borderId="19" xfId="2" applyNumberFormat="1" applyFont="1" applyFill="1" applyBorder="1"/>
    <xf numFmtId="165" fontId="9" fillId="8" borderId="15" xfId="2" applyNumberFormat="1" applyFont="1" applyFill="1" applyBorder="1"/>
    <xf numFmtId="0" fontId="10" fillId="0" borderId="1" xfId="0" applyFont="1" applyFill="1" applyBorder="1" applyAlignment="1">
      <alignment horizontal="left"/>
    </xf>
    <xf numFmtId="169" fontId="4" fillId="0" borderId="0" xfId="4" applyFont="1" applyAlignment="1">
      <alignment horizontal="center"/>
    </xf>
    <xf numFmtId="169" fontId="4" fillId="0" borderId="0" xfId="4" applyFont="1"/>
    <xf numFmtId="1" fontId="4" fillId="5" borderId="13" xfId="4" applyNumberFormat="1" applyFont="1" applyFill="1" applyBorder="1" applyAlignment="1">
      <alignment horizontal="right" wrapText="1"/>
    </xf>
    <xf numFmtId="169" fontId="4" fillId="5" borderId="13" xfId="4" applyFont="1" applyFill="1" applyBorder="1" applyAlignment="1">
      <alignment horizontal="center" wrapText="1"/>
    </xf>
    <xf numFmtId="166" fontId="12" fillId="9" borderId="13" xfId="4" applyNumberFormat="1" applyFont="1" applyFill="1" applyBorder="1" applyAlignment="1">
      <alignment horizontal="center" wrapText="1"/>
    </xf>
    <xf numFmtId="166" fontId="12" fillId="10" borderId="13" xfId="4" applyNumberFormat="1" applyFont="1" applyFill="1" applyBorder="1" applyAlignment="1">
      <alignment horizontal="center" wrapText="1"/>
    </xf>
    <xf numFmtId="169" fontId="4" fillId="0" borderId="0" xfId="4" applyFont="1" applyAlignment="1">
      <alignment wrapText="1"/>
    </xf>
    <xf numFmtId="1" fontId="4" fillId="0" borderId="0" xfId="4" applyNumberFormat="1" applyFont="1" applyAlignment="1" applyProtection="1">
      <alignment horizontal="right" vertical="center"/>
    </xf>
    <xf numFmtId="169" fontId="4" fillId="0" borderId="0" xfId="4" applyFont="1" applyAlignment="1" applyProtection="1">
      <alignment horizontal="left" vertical="center"/>
    </xf>
    <xf numFmtId="168" fontId="4" fillId="0" borderId="0" xfId="5" applyNumberFormat="1" applyFont="1" applyAlignment="1" applyProtection="1">
      <alignment vertical="center"/>
    </xf>
    <xf numFmtId="166" fontId="4" fillId="0" borderId="0" xfId="4" applyNumberFormat="1" applyFont="1" applyAlignment="1">
      <alignment vertical="center"/>
    </xf>
    <xf numFmtId="169" fontId="4" fillId="0" borderId="0" xfId="4" applyFont="1" applyAlignment="1">
      <alignment vertical="center"/>
    </xf>
    <xf numFmtId="1" fontId="4" fillId="0" borderId="0" xfId="4" quotePrefix="1" applyNumberFormat="1" applyFont="1" applyAlignment="1" applyProtection="1">
      <alignment horizontal="right" vertical="center"/>
    </xf>
    <xf numFmtId="169" fontId="4" fillId="0" borderId="0" xfId="4" applyFont="1" applyFill="1" applyAlignment="1">
      <alignment vertical="center"/>
    </xf>
    <xf numFmtId="1" fontId="4" fillId="0" borderId="0" xfId="4" quotePrefix="1" applyNumberFormat="1" applyFont="1" applyAlignment="1">
      <alignment horizontal="right" vertical="center"/>
    </xf>
    <xf numFmtId="1" fontId="4" fillId="0" borderId="0" xfId="4" applyNumberFormat="1" applyFont="1" applyFill="1" applyAlignment="1" applyProtection="1">
      <alignment horizontal="right" vertical="center"/>
    </xf>
    <xf numFmtId="169" fontId="4" fillId="0" borderId="0" xfId="4" applyFont="1" applyFill="1" applyAlignment="1" applyProtection="1">
      <alignment horizontal="left" vertical="center"/>
    </xf>
    <xf numFmtId="168" fontId="4" fillId="0" borderId="0" xfId="5" applyNumberFormat="1" applyFont="1" applyFill="1" applyAlignment="1" applyProtection="1">
      <alignment vertical="center"/>
    </xf>
    <xf numFmtId="1" fontId="4" fillId="0" borderId="0" xfId="4" applyNumberFormat="1" applyFont="1" applyAlignment="1">
      <alignment horizontal="right"/>
    </xf>
    <xf numFmtId="166" fontId="4" fillId="0" borderId="0" xfId="4" applyNumberFormat="1" applyFont="1"/>
    <xf numFmtId="1" fontId="5" fillId="0" borderId="0" xfId="4" applyNumberFormat="1" applyFont="1" applyFill="1" applyAlignment="1">
      <alignment horizontal="right"/>
    </xf>
    <xf numFmtId="169" fontId="5" fillId="0" borderId="0" xfId="4" applyFont="1" applyFill="1"/>
    <xf numFmtId="166" fontId="5" fillId="0" borderId="0" xfId="4" applyNumberFormat="1" applyFont="1" applyFill="1"/>
    <xf numFmtId="168" fontId="4" fillId="0" borderId="0" xfId="5" applyNumberFormat="1" applyFont="1"/>
    <xf numFmtId="0" fontId="14" fillId="8" borderId="14" xfId="0" applyFont="1" applyFill="1" applyBorder="1" applyAlignment="1">
      <alignment horizontal="center"/>
    </xf>
    <xf numFmtId="10" fontId="9" fillId="0" borderId="17" xfId="2" applyNumberFormat="1" applyFont="1" applyBorder="1"/>
    <xf numFmtId="166" fontId="4" fillId="7" borderId="0" xfId="4" applyNumberFormat="1" applyFont="1" applyFill="1" applyAlignment="1">
      <alignment vertical="center"/>
    </xf>
    <xf numFmtId="0" fontId="9" fillId="0" borderId="0" xfId="0" applyFont="1" applyBorder="1"/>
    <xf numFmtId="165" fontId="9" fillId="0" borderId="0" xfId="2" applyNumberFormat="1" applyFont="1" applyBorder="1"/>
    <xf numFmtId="0" fontId="7" fillId="0" borderId="0" xfId="0" applyFont="1" applyFill="1" applyBorder="1"/>
    <xf numFmtId="44" fontId="7" fillId="0" borderId="0" xfId="0" applyNumberFormat="1" applyFont="1" applyFill="1" applyBorder="1"/>
    <xf numFmtId="5" fontId="9" fillId="8" borderId="15" xfId="2" applyNumberFormat="1" applyFont="1" applyFill="1" applyBorder="1"/>
    <xf numFmtId="0" fontId="6" fillId="0" borderId="8" xfId="0" applyFont="1" applyFill="1" applyBorder="1" applyAlignment="1">
      <alignment horizontal="center" wrapText="1"/>
    </xf>
    <xf numFmtId="0" fontId="6" fillId="4" borderId="6" xfId="0" applyFont="1" applyFill="1" applyBorder="1"/>
    <xf numFmtId="44" fontId="2" fillId="4" borderId="8" xfId="2" applyFont="1" applyFill="1" applyBorder="1"/>
    <xf numFmtId="169" fontId="4" fillId="7" borderId="0" xfId="4" applyFont="1" applyFill="1" applyAlignment="1">
      <alignment vertical="center"/>
    </xf>
    <xf numFmtId="2" fontId="4" fillId="0" borderId="0" xfId="4" applyNumberFormat="1" applyFont="1"/>
    <xf numFmtId="2" fontId="4" fillId="0" borderId="0" xfId="4" applyNumberFormat="1" applyFont="1" applyAlignment="1">
      <alignment vertical="center"/>
    </xf>
    <xf numFmtId="2" fontId="5" fillId="0" borderId="0" xfId="4" applyNumberFormat="1" applyFont="1" applyFill="1"/>
    <xf numFmtId="4" fontId="4" fillId="0" borderId="0" xfId="4" applyNumberFormat="1" applyFont="1"/>
    <xf numFmtId="4" fontId="4" fillId="0" borderId="0" xfId="4" applyNumberFormat="1" applyFont="1" applyAlignment="1">
      <alignment vertical="center"/>
    </xf>
    <xf numFmtId="4" fontId="5" fillId="0" borderId="0" xfId="4" applyNumberFormat="1" applyFont="1" applyFill="1"/>
    <xf numFmtId="4" fontId="4" fillId="7" borderId="0" xfId="4" applyNumberFormat="1" applyFont="1" applyFill="1" applyAlignment="1">
      <alignment vertical="center"/>
    </xf>
    <xf numFmtId="0" fontId="15" fillId="2" borderId="0" xfId="0" applyFont="1" applyFill="1" applyAlignment="1">
      <alignment horizontal="center"/>
    </xf>
    <xf numFmtId="0" fontId="19" fillId="0" borderId="0" xfId="0" applyFont="1" applyAlignment="1">
      <alignment vertical="top" wrapText="1"/>
    </xf>
    <xf numFmtId="49" fontId="4" fillId="0" borderId="0" xfId="4" applyNumberFormat="1" applyFont="1"/>
    <xf numFmtId="49" fontId="4" fillId="0" borderId="0" xfId="4" applyNumberFormat="1" applyFont="1" applyAlignment="1">
      <alignment vertical="center"/>
    </xf>
    <xf numFmtId="49" fontId="5" fillId="0" borderId="0" xfId="4" applyNumberFormat="1" applyFont="1" applyFill="1"/>
    <xf numFmtId="0" fontId="6" fillId="4" borderId="21" xfId="0" applyFont="1" applyFill="1" applyBorder="1"/>
    <xf numFmtId="0" fontId="7" fillId="4" borderId="14" xfId="0" applyFont="1" applyFill="1" applyBorder="1"/>
    <xf numFmtId="165" fontId="7" fillId="4" borderId="15" xfId="0" applyNumberFormat="1" applyFont="1" applyFill="1" applyBorder="1"/>
    <xf numFmtId="165" fontId="2" fillId="4" borderId="8" xfId="0" applyNumberFormat="1" applyFont="1" applyFill="1" applyBorder="1"/>
    <xf numFmtId="165" fontId="2" fillId="0" borderId="0" xfId="0" applyNumberFormat="1" applyFont="1" applyBorder="1"/>
    <xf numFmtId="165" fontId="6" fillId="4" borderId="11" xfId="0" applyNumberFormat="1" applyFont="1" applyFill="1" applyBorder="1"/>
    <xf numFmtId="165" fontId="2" fillId="4" borderId="10" xfId="2" applyNumberFormat="1" applyFont="1" applyFill="1" applyBorder="1"/>
    <xf numFmtId="165" fontId="2" fillId="0" borderId="3" xfId="2" applyNumberFormat="1" applyFont="1" applyBorder="1"/>
    <xf numFmtId="165" fontId="2" fillId="0" borderId="3" xfId="2" applyNumberFormat="1" applyFont="1" applyFill="1" applyBorder="1"/>
    <xf numFmtId="165" fontId="6" fillId="4" borderId="21" xfId="0" applyNumberFormat="1" applyFont="1" applyFill="1" applyBorder="1"/>
    <xf numFmtId="0" fontId="2" fillId="0" borderId="20" xfId="0" applyFont="1" applyBorder="1" applyAlignment="1">
      <alignment horizontal="left" wrapText="1"/>
    </xf>
    <xf numFmtId="165" fontId="4" fillId="0" borderId="0" xfId="2" applyNumberFormat="1" applyFont="1" applyAlignment="1">
      <alignment vertical="center"/>
    </xf>
    <xf numFmtId="166" fontId="12" fillId="10" borderId="22" xfId="4" applyNumberFormat="1" applyFont="1" applyFill="1" applyBorder="1" applyAlignment="1">
      <alignment horizontal="center" wrapText="1"/>
    </xf>
    <xf numFmtId="0" fontId="22" fillId="0" borderId="0" xfId="0" applyFont="1" applyFill="1" applyBorder="1"/>
    <xf numFmtId="170" fontId="23" fillId="12" borderId="23" xfId="0" quotePrefix="1" applyNumberFormat="1" applyFont="1" applyFill="1" applyBorder="1" applyAlignment="1">
      <alignment horizontal="center" vertical="center" wrapText="1"/>
    </xf>
    <xf numFmtId="4" fontId="22" fillId="11" borderId="24" xfId="0" applyNumberFormat="1" applyFont="1" applyFill="1" applyBorder="1"/>
    <xf numFmtId="4" fontId="22" fillId="11" borderId="25" xfId="0" applyNumberFormat="1" applyFont="1" applyFill="1" applyBorder="1"/>
    <xf numFmtId="4" fontId="22" fillId="3" borderId="25" xfId="0" applyNumberFormat="1" applyFont="1" applyFill="1" applyBorder="1"/>
    <xf numFmtId="165" fontId="5" fillId="0" borderId="0" xfId="2" applyNumberFormat="1" applyFont="1" applyFill="1"/>
    <xf numFmtId="0" fontId="24" fillId="0" borderId="0" xfId="0" applyFont="1" applyBorder="1" applyProtection="1"/>
    <xf numFmtId="0" fontId="24" fillId="0" borderId="0" xfId="0" applyFont="1" applyProtection="1"/>
    <xf numFmtId="0" fontId="24" fillId="0" borderId="0" xfId="0" applyFont="1" applyAlignment="1" applyProtection="1"/>
    <xf numFmtId="0" fontId="25" fillId="0" borderId="0" xfId="0" applyFont="1" applyAlignment="1" applyProtection="1"/>
    <xf numFmtId="0" fontId="26" fillId="0" borderId="0" xfId="0" applyFont="1" applyProtection="1"/>
    <xf numFmtId="166" fontId="26" fillId="0" borderId="0" xfId="0" applyNumberFormat="1" applyFont="1" applyProtection="1"/>
    <xf numFmtId="165" fontId="2" fillId="4" borderId="7" xfId="2" applyNumberFormat="1" applyFont="1" applyFill="1" applyBorder="1"/>
    <xf numFmtId="43" fontId="2" fillId="0" borderId="0" xfId="1" applyFont="1" applyFill="1" applyBorder="1"/>
    <xf numFmtId="9" fontId="2" fillId="0" borderId="1" xfId="3" applyFont="1" applyFill="1" applyBorder="1"/>
    <xf numFmtId="43" fontId="2" fillId="0" borderId="0" xfId="1" applyFont="1" applyBorder="1"/>
    <xf numFmtId="43" fontId="2" fillId="0" borderId="11" xfId="1" applyFont="1" applyBorder="1"/>
    <xf numFmtId="0" fontId="12" fillId="0" borderId="0" xfId="0" applyFont="1" applyFill="1" applyBorder="1" applyProtection="1"/>
    <xf numFmtId="0" fontId="26" fillId="0" borderId="0" xfId="0" applyFont="1" applyBorder="1" applyProtection="1"/>
    <xf numFmtId="165" fontId="24" fillId="0" borderId="0" xfId="2" applyNumberFormat="1" applyFont="1" applyBorder="1" applyProtection="1"/>
    <xf numFmtId="0" fontId="24" fillId="0" borderId="0" xfId="0" applyFont="1" applyBorder="1" applyAlignment="1" applyProtection="1">
      <alignment horizontal="right"/>
    </xf>
    <xf numFmtId="0" fontId="2" fillId="0" borderId="0" xfId="0" applyFont="1" applyFill="1" applyBorder="1" applyAlignment="1">
      <alignment horizontal="right"/>
    </xf>
    <xf numFmtId="9" fontId="0" fillId="2" borderId="0" xfId="3" applyFont="1" applyFill="1" applyAlignment="1">
      <alignment horizontal="right"/>
    </xf>
    <xf numFmtId="0" fontId="0" fillId="0" borderId="0" xfId="0" applyAlignment="1">
      <alignment horizontal="right" wrapText="1"/>
    </xf>
    <xf numFmtId="0" fontId="0" fillId="0" borderId="0" xfId="0" applyAlignment="1">
      <alignment horizontal="right"/>
    </xf>
    <xf numFmtId="2" fontId="0" fillId="0" borderId="0" xfId="0" applyNumberFormat="1"/>
    <xf numFmtId="166" fontId="0" fillId="0" borderId="0" xfId="0" applyNumberFormat="1"/>
    <xf numFmtId="166" fontId="27" fillId="0" borderId="0" xfId="0" applyNumberFormat="1" applyFont="1"/>
    <xf numFmtId="0" fontId="0" fillId="0" borderId="0" xfId="0" applyAlignment="1">
      <alignment wrapText="1"/>
    </xf>
    <xf numFmtId="172" fontId="24" fillId="0" borderId="0" xfId="0" applyNumberFormat="1" applyFont="1" applyBorder="1" applyProtection="1"/>
    <xf numFmtId="0" fontId="10" fillId="0" borderId="0" xfId="0" applyFont="1" applyFill="1" applyBorder="1" applyAlignment="1">
      <alignment horizontal="left"/>
    </xf>
    <xf numFmtId="165" fontId="2" fillId="0" borderId="0" xfId="2" applyNumberFormat="1" applyFont="1" applyFill="1" applyBorder="1"/>
    <xf numFmtId="0" fontId="10" fillId="0" borderId="1" xfId="0" applyFont="1" applyFill="1" applyBorder="1" applyAlignment="1">
      <alignment horizontal="left"/>
    </xf>
    <xf numFmtId="0" fontId="2" fillId="0" borderId="0" xfId="0" applyFont="1" applyAlignment="1">
      <alignment horizontal="left" wrapText="1"/>
    </xf>
    <xf numFmtId="0" fontId="6" fillId="0" borderId="0" xfId="0" applyFont="1" applyAlignment="1">
      <alignment horizontal="left" wrapText="1"/>
    </xf>
    <xf numFmtId="1" fontId="3" fillId="0" borderId="12" xfId="4" applyNumberFormat="1" applyFont="1" applyBorder="1" applyAlignment="1">
      <alignment horizontal="center"/>
    </xf>
    <xf numFmtId="0" fontId="10" fillId="0" borderId="0" xfId="0" applyFont="1" applyFill="1" applyBorder="1" applyAlignment="1">
      <alignment horizontal="left"/>
    </xf>
    <xf numFmtId="0" fontId="15" fillId="2" borderId="0" xfId="0" applyFont="1" applyFill="1" applyAlignment="1">
      <alignment horizontal="center"/>
    </xf>
  </cellXfs>
  <cellStyles count="6">
    <cellStyle name="Comma" xfId="1" builtinId="3"/>
    <cellStyle name="Comma 2" xfId="5"/>
    <cellStyle name="Currency" xfId="2" builtinId="4"/>
    <cellStyle name="Normal" xfId="0" builtinId="0"/>
    <cellStyle name="Normal 2" xfId="4"/>
    <cellStyle name="Percent" xfId="3"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'Compare Old vs New'!$E$11</c:f>
              <c:strCache>
                <c:ptCount val="1"/>
                <c:pt idx="0">
                  <c:v>Old formula w pension levy</c:v>
                </c:pt>
              </c:strCache>
            </c:strRef>
          </c:tx>
          <c:spPr>
            <a:ln w="28575" cap="rnd">
              <a:solidFill>
                <a:schemeClr val="accent2"/>
              </a:solidFill>
              <a:round/>
            </a:ln>
            <a:effectLst/>
          </c:spPr>
          <c:marker>
            <c:symbol val="none"/>
          </c:marker>
          <c:cat>
            <c:strRef>
              <c:f>'Compare Old vs New'!$A$12:$A$16</c:f>
              <c:strCache>
                <c:ptCount val="5"/>
                <c:pt idx="0">
                  <c:v>SY2015-16</c:v>
                </c:pt>
                <c:pt idx="1">
                  <c:v>SY2016-17</c:v>
                </c:pt>
                <c:pt idx="2">
                  <c:v>SY2017-18</c:v>
                </c:pt>
                <c:pt idx="3">
                  <c:v>SY2018-19</c:v>
                </c:pt>
                <c:pt idx="4">
                  <c:v>SY2019-20</c:v>
                </c:pt>
              </c:strCache>
            </c:strRef>
          </c:cat>
          <c:val>
            <c:numRef>
              <c:f>'Compare Old vs New'!$E$12:$E$16</c:f>
              <c:numCache>
                <c:formatCode>"$"#,##0</c:formatCode>
                <c:ptCount val="5"/>
                <c:pt idx="0">
                  <c:v>22470943.525200002</c:v>
                </c:pt>
                <c:pt idx="1">
                  <c:v>22908075.805200003</c:v>
                </c:pt>
                <c:pt idx="2">
                  <c:v>23353950.730800003</c:v>
                </c:pt>
                <c:pt idx="3">
                  <c:v>23808743.154912002</c:v>
                </c:pt>
                <c:pt idx="4">
                  <c:v>24272631.427506238</c:v>
                </c:pt>
              </c:numCache>
            </c:numRef>
          </c:val>
          <c:smooth val="0"/>
        </c:ser>
        <c:ser>
          <c:idx val="1"/>
          <c:order val="1"/>
          <c:tx>
            <c:strRef>
              <c:f>'Compare Old vs New'!$F$11</c:f>
              <c:strCache>
                <c:ptCount val="1"/>
                <c:pt idx="0">
                  <c:v>New formula</c:v>
                </c:pt>
              </c:strCache>
            </c:strRef>
          </c:tx>
          <c:spPr>
            <a:ln w="28575" cap="rnd">
              <a:solidFill>
                <a:schemeClr val="accent5"/>
              </a:solidFill>
              <a:round/>
            </a:ln>
            <a:effectLst/>
          </c:spPr>
          <c:marker>
            <c:symbol val="none"/>
          </c:marker>
          <c:cat>
            <c:strRef>
              <c:f>'Compare Old vs New'!$A$12:$A$16</c:f>
              <c:strCache>
                <c:ptCount val="5"/>
                <c:pt idx="0">
                  <c:v>SY2015-16</c:v>
                </c:pt>
                <c:pt idx="1">
                  <c:v>SY2016-17</c:v>
                </c:pt>
                <c:pt idx="2">
                  <c:v>SY2017-18</c:v>
                </c:pt>
                <c:pt idx="3">
                  <c:v>SY2018-19</c:v>
                </c:pt>
                <c:pt idx="4">
                  <c:v>SY2019-20</c:v>
                </c:pt>
              </c:strCache>
            </c:strRef>
          </c:cat>
          <c:val>
            <c:numRef>
              <c:f>'Compare Old vs New'!$F$12:$F$16</c:f>
              <c:numCache>
                <c:formatCode>"$"#,##0</c:formatCode>
                <c:ptCount val="5"/>
                <c:pt idx="1">
                  <c:v>24488545.377900001</c:v>
                </c:pt>
                <c:pt idx="2">
                  <c:v>24978316.285458002</c:v>
                </c:pt>
                <c:pt idx="3">
                  <c:v>25477882.611167159</c:v>
                </c:pt>
                <c:pt idx="4">
                  <c:v>25987440.263390504</c:v>
                </c:pt>
              </c:numCache>
            </c:numRef>
          </c:val>
          <c:smooth val="0"/>
        </c:ser>
        <c:dLbls>
          <c:showLegendKey val="0"/>
          <c:showVal val="0"/>
          <c:showCatName val="0"/>
          <c:showSerName val="0"/>
          <c:showPercent val="0"/>
          <c:showBubbleSize val="0"/>
        </c:dLbls>
        <c:marker val="1"/>
        <c:smooth val="0"/>
        <c:axId val="93687808"/>
        <c:axId val="93689344"/>
      </c:lineChart>
      <c:catAx>
        <c:axId val="936878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689344"/>
        <c:crosses val="autoZero"/>
        <c:auto val="1"/>
        <c:lblAlgn val="ctr"/>
        <c:lblOffset val="100"/>
        <c:noMultiLvlLbl val="0"/>
      </c:catAx>
      <c:valAx>
        <c:axId val="9368934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687808"/>
        <c:crosses val="autoZero"/>
        <c:crossBetween val="between"/>
      </c:valAx>
      <c:spPr>
        <a:noFill/>
        <a:ln w="25400">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37843</xdr:colOff>
      <xdr:row>29</xdr:row>
      <xdr:rowOff>9680</xdr:rowOff>
    </xdr:from>
    <xdr:to>
      <xdr:col>5</xdr:col>
      <xdr:colOff>412749</xdr:colOff>
      <xdr:row>31</xdr:row>
      <xdr:rowOff>21474</xdr:rowOff>
    </xdr:to>
    <xdr:pic>
      <xdr:nvPicPr>
        <xdr:cNvPr id="2" name="Picture 1" descr="C:\Temp\Temporary Internet Files\Content.IE5\J8GGLTDV\821px-Red_Checkmark.svg[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65260" y="7428597"/>
          <a:ext cx="374906" cy="615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1619251</xdr:colOff>
      <xdr:row>5</xdr:row>
      <xdr:rowOff>158750</xdr:rowOff>
    </xdr:from>
    <xdr:to>
      <xdr:col>2</xdr:col>
      <xdr:colOff>42334</xdr:colOff>
      <xdr:row>7</xdr:row>
      <xdr:rowOff>95250</xdr:rowOff>
    </xdr:to>
    <xdr:sp macro="" textlink="">
      <xdr:nvSpPr>
        <xdr:cNvPr id="3" name="TextBox 2"/>
        <xdr:cNvSpPr txBox="1"/>
      </xdr:nvSpPr>
      <xdr:spPr>
        <a:xfrm>
          <a:off x="1619251" y="1979083"/>
          <a:ext cx="3132666" cy="359834"/>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bg1"/>
              </a:solidFill>
            </a:rPr>
            <a:t>Fall 2015  SAFE Count for Accountability Only</a:t>
          </a:r>
        </a:p>
        <a:p>
          <a:endParaRPr lang="en-US" sz="1100" b="1" baseline="0">
            <a:solidFill>
              <a:schemeClr val="bg1"/>
            </a:solidFill>
          </a:endParaRPr>
        </a:p>
        <a:p>
          <a:endParaRPr lang="en-US" sz="1100" b="1">
            <a:solidFill>
              <a:schemeClr val="bg1"/>
            </a:solidFill>
          </a:endParaRPr>
        </a:p>
      </xdr:txBody>
    </xdr:sp>
    <xdr:clientData/>
  </xdr:twoCellAnchor>
  <xdr:twoCellAnchor>
    <xdr:from>
      <xdr:col>3</xdr:col>
      <xdr:colOff>4392084</xdr:colOff>
      <xdr:row>2</xdr:row>
      <xdr:rowOff>539749</xdr:rowOff>
    </xdr:from>
    <xdr:to>
      <xdr:col>5</xdr:col>
      <xdr:colOff>10583</xdr:colOff>
      <xdr:row>6</xdr:row>
      <xdr:rowOff>105833</xdr:rowOff>
    </xdr:to>
    <xdr:sp macro="" textlink="">
      <xdr:nvSpPr>
        <xdr:cNvPr id="8" name="TextBox 7"/>
        <xdr:cNvSpPr txBox="1"/>
      </xdr:nvSpPr>
      <xdr:spPr>
        <a:xfrm>
          <a:off x="9662584" y="878416"/>
          <a:ext cx="2434166" cy="92075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Count of LEP students scoring</a:t>
          </a:r>
          <a:r>
            <a:rPr lang="en-US" sz="1100" b="1" baseline="0">
              <a:solidFill>
                <a:schemeClr val="bg1"/>
              </a:solidFill>
            </a:rPr>
            <a:t> (composite) less than 4.0 on </a:t>
          </a:r>
        </a:p>
        <a:p>
          <a:r>
            <a:rPr lang="en-US" sz="1100" b="1" baseline="0">
              <a:solidFill>
                <a:schemeClr val="bg1"/>
              </a:solidFill>
            </a:rPr>
            <a:t>Language Acquisition Assessment (taken 2/2015)</a:t>
          </a:r>
        </a:p>
        <a:p>
          <a:endParaRPr lang="en-US" sz="1100" b="1" baseline="0">
            <a:solidFill>
              <a:schemeClr val="bg1"/>
            </a:solidFill>
          </a:endParaRPr>
        </a:p>
        <a:p>
          <a:endParaRPr lang="en-US" sz="1100" b="1" baseline="0">
            <a:solidFill>
              <a:schemeClr val="bg1"/>
            </a:solidFill>
          </a:endParaRPr>
        </a:p>
        <a:p>
          <a:endParaRPr lang="en-US" sz="1100"/>
        </a:p>
      </xdr:txBody>
    </xdr:sp>
    <xdr:clientData/>
  </xdr:twoCellAnchor>
  <xdr:twoCellAnchor>
    <xdr:from>
      <xdr:col>4</xdr:col>
      <xdr:colOff>857251</xdr:colOff>
      <xdr:row>6</xdr:row>
      <xdr:rowOff>126999</xdr:rowOff>
    </xdr:from>
    <xdr:to>
      <xdr:col>5</xdr:col>
      <xdr:colOff>7409</xdr:colOff>
      <xdr:row>9</xdr:row>
      <xdr:rowOff>10583</xdr:rowOff>
    </xdr:to>
    <xdr:sp macro="" textlink="">
      <xdr:nvSpPr>
        <xdr:cNvPr id="10" name="Down Arrow 9"/>
        <xdr:cNvSpPr/>
      </xdr:nvSpPr>
      <xdr:spPr>
        <a:xfrm>
          <a:off x="11292418" y="2158999"/>
          <a:ext cx="451908" cy="51858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42333</xdr:colOff>
      <xdr:row>6</xdr:row>
      <xdr:rowOff>126999</xdr:rowOff>
    </xdr:from>
    <xdr:to>
      <xdr:col>2</xdr:col>
      <xdr:colOff>381000</xdr:colOff>
      <xdr:row>9</xdr:row>
      <xdr:rowOff>201083</xdr:rowOff>
    </xdr:to>
    <xdr:sp macro="" textlink="">
      <xdr:nvSpPr>
        <xdr:cNvPr id="16" name="Curved Left Arrow 15"/>
        <xdr:cNvSpPr/>
      </xdr:nvSpPr>
      <xdr:spPr>
        <a:xfrm>
          <a:off x="4878916" y="1608666"/>
          <a:ext cx="338667" cy="709084"/>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5</xdr:col>
      <xdr:colOff>63499</xdr:colOff>
      <xdr:row>34</xdr:row>
      <xdr:rowOff>539750</xdr:rowOff>
    </xdr:from>
    <xdr:to>
      <xdr:col>5</xdr:col>
      <xdr:colOff>444500</xdr:colOff>
      <xdr:row>35</xdr:row>
      <xdr:rowOff>296755</xdr:rowOff>
    </xdr:to>
    <xdr:pic>
      <xdr:nvPicPr>
        <xdr:cNvPr id="7" name="Picture 6" descr="C:\Temp\Temporary Internet Files\Content.IE5\J8GGLTDV\821px-Red_Checkmark.svg[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916" y="9334500"/>
          <a:ext cx="381001" cy="571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2751667</xdr:colOff>
      <xdr:row>1</xdr:row>
      <xdr:rowOff>84668</xdr:rowOff>
    </xdr:from>
    <xdr:to>
      <xdr:col>4</xdr:col>
      <xdr:colOff>10584</xdr:colOff>
      <xdr:row>2</xdr:row>
      <xdr:rowOff>190500</xdr:rowOff>
    </xdr:to>
    <xdr:sp macro="" textlink="">
      <xdr:nvSpPr>
        <xdr:cNvPr id="4" name="TextBox 3"/>
        <xdr:cNvSpPr txBox="1"/>
      </xdr:nvSpPr>
      <xdr:spPr>
        <a:xfrm>
          <a:off x="8212667" y="423335"/>
          <a:ext cx="2423584" cy="444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mn-lt"/>
              <a:ea typeface="+mn-ea"/>
              <a:cs typeface="+mn-cs"/>
            </a:rPr>
            <a:t> Click </a:t>
          </a:r>
          <a:r>
            <a:rPr lang="en-US" sz="1100" b="0" i="0" u="sng" strike="noStrike">
              <a:solidFill>
                <a:schemeClr val="dk1"/>
              </a:solidFill>
              <a:effectLst/>
              <a:latin typeface="+mn-lt"/>
              <a:ea typeface="+mn-ea"/>
              <a:cs typeface="+mn-cs"/>
            </a:rPr>
            <a:t>in cell D1 </a:t>
          </a:r>
          <a:r>
            <a:rPr lang="en-US" sz="1100" b="0" i="0" u="none" strike="noStrike">
              <a:solidFill>
                <a:schemeClr val="dk1"/>
              </a:solidFill>
              <a:effectLst/>
              <a:latin typeface="+mn-lt"/>
              <a:ea typeface="+mn-ea"/>
              <a:cs typeface="+mn-cs"/>
            </a:rPr>
            <a:t>, then c</a:t>
          </a:r>
          <a:r>
            <a:rPr lang="en-US"/>
            <a:t>lick on dropdown arrow</a:t>
          </a:r>
          <a:r>
            <a:rPr lang="en-US" baseline="0"/>
            <a:t> and select a district.</a:t>
          </a:r>
          <a:endParaRPr lang="en-US" sz="1100"/>
        </a:p>
      </xdr:txBody>
    </xdr:sp>
    <xdr:clientData/>
  </xdr:twoCellAnchor>
  <xdr:twoCellAnchor>
    <xdr:from>
      <xdr:col>4</xdr:col>
      <xdr:colOff>158750</xdr:colOff>
      <xdr:row>0</xdr:row>
      <xdr:rowOff>84667</xdr:rowOff>
    </xdr:from>
    <xdr:to>
      <xdr:col>4</xdr:col>
      <xdr:colOff>666750</xdr:colOff>
      <xdr:row>2</xdr:row>
      <xdr:rowOff>52917</xdr:rowOff>
    </xdr:to>
    <xdr:sp macro="" textlink="">
      <xdr:nvSpPr>
        <xdr:cNvPr id="6" name="Curved Left Arrow 5"/>
        <xdr:cNvSpPr/>
      </xdr:nvSpPr>
      <xdr:spPr>
        <a:xfrm>
          <a:off x="10784417" y="84667"/>
          <a:ext cx="508000" cy="645583"/>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oneCellAnchor>
    <xdr:from>
      <xdr:col>0</xdr:col>
      <xdr:colOff>361950</xdr:colOff>
      <xdr:row>25</xdr:row>
      <xdr:rowOff>342902</xdr:rowOff>
    </xdr:from>
    <xdr:ext cx="4409017" cy="3476623"/>
    <xdr:sp macro="" textlink="">
      <xdr:nvSpPr>
        <xdr:cNvPr id="9" name="TextBox 8"/>
        <xdr:cNvSpPr txBox="1"/>
      </xdr:nvSpPr>
      <xdr:spPr>
        <a:xfrm>
          <a:off x="361950" y="6486527"/>
          <a:ext cx="4409017" cy="3476623"/>
        </a:xfrm>
        <a:prstGeom prst="rect">
          <a:avLst/>
        </a:prstGeom>
        <a:solidFill>
          <a:schemeClr val="bg1"/>
        </a:solidFill>
        <a:ln>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latin typeface="Ebrima" panose="02000000000000000000" pitchFamily="2" charset="0"/>
              <a:ea typeface="Ebrima" panose="02000000000000000000" pitchFamily="2" charset="0"/>
              <a:cs typeface="Ebrima" panose="02000000000000000000" pitchFamily="2" charset="0"/>
            </a:rPr>
            <a:t>The new legislation created</a:t>
          </a:r>
          <a:r>
            <a:rPr lang="en-US" sz="1000" baseline="0">
              <a:latin typeface="Ebrima" panose="02000000000000000000" pitchFamily="2" charset="0"/>
              <a:ea typeface="Ebrima" panose="02000000000000000000" pitchFamily="2" charset="0"/>
              <a:cs typeface="Ebrima" panose="02000000000000000000" pitchFamily="2" charset="0"/>
            </a:rPr>
            <a:t> two separate requirements for the use of the general fund increase in FY201</a:t>
          </a:r>
          <a:r>
            <a:rPr lang="en-US" sz="1000" u="none" baseline="0">
              <a:latin typeface="Ebrima" panose="02000000000000000000" pitchFamily="2" charset="0"/>
              <a:ea typeface="Ebrima" panose="02000000000000000000" pitchFamily="2" charset="0"/>
              <a:cs typeface="Ebrima" panose="02000000000000000000" pitchFamily="2" charset="0"/>
            </a:rPr>
            <a:t>7.  </a:t>
          </a:r>
          <a:r>
            <a:rPr lang="en-US" sz="1000" u="sng" baseline="0">
              <a:latin typeface="Ebrima" panose="02000000000000000000" pitchFamily="2" charset="0"/>
              <a:ea typeface="Ebrima" panose="02000000000000000000" pitchFamily="2" charset="0"/>
              <a:cs typeface="Ebrima" panose="02000000000000000000" pitchFamily="2" charset="0"/>
            </a:rPr>
            <a:t>Districts must comply with both of the below requirements..</a:t>
          </a:r>
        </a:p>
        <a:p>
          <a:endParaRPr lang="en-US" sz="1000" baseline="0">
            <a:latin typeface="Ebrima" panose="02000000000000000000" pitchFamily="2" charset="0"/>
            <a:ea typeface="Ebrima" panose="02000000000000000000" pitchFamily="2" charset="0"/>
            <a:cs typeface="Ebrima" panose="02000000000000000000" pitchFamily="2" charset="0"/>
          </a:endParaRPr>
        </a:p>
        <a:p>
          <a:endParaRPr lang="en-US" sz="1000" baseline="0">
            <a:latin typeface="Ebrima" panose="02000000000000000000" pitchFamily="2" charset="0"/>
            <a:ea typeface="Ebrima" panose="02000000000000000000" pitchFamily="2" charset="0"/>
            <a:cs typeface="Ebrima" panose="02000000000000000000" pitchFamily="2" charset="0"/>
          </a:endParaRPr>
        </a:p>
        <a:p>
          <a:r>
            <a:rPr lang="en-US" sz="1000" baseline="0">
              <a:latin typeface="Ebrima" panose="02000000000000000000" pitchFamily="2" charset="0"/>
              <a:ea typeface="Ebrima" panose="02000000000000000000" pitchFamily="2" charset="0"/>
              <a:cs typeface="Ebrima" panose="02000000000000000000" pitchFamily="2" charset="0"/>
            </a:rPr>
            <a:t>1.  A district must expend at least 85% of the increase in general state aid need on teacher salaries and benefits (see cell E31)</a:t>
          </a:r>
        </a:p>
        <a:p>
          <a:pPr algn="ctr"/>
          <a:r>
            <a:rPr lang="en-US" sz="1200" b="1" u="sng" baseline="0">
              <a:latin typeface="Ebrima" panose="02000000000000000000" pitchFamily="2" charset="0"/>
              <a:ea typeface="Ebrima" panose="02000000000000000000" pitchFamily="2" charset="0"/>
              <a:cs typeface="Ebrima" panose="02000000000000000000" pitchFamily="2" charset="0"/>
            </a:rPr>
            <a:t>AND</a:t>
          </a:r>
        </a:p>
        <a:p>
          <a:r>
            <a:rPr lang="en-US" sz="1000" baseline="0">
              <a:latin typeface="Ebrima" panose="02000000000000000000" pitchFamily="2" charset="0"/>
              <a:ea typeface="Ebrima" panose="02000000000000000000" pitchFamily="2" charset="0"/>
              <a:cs typeface="Ebrima" panose="02000000000000000000" pitchFamily="2" charset="0"/>
            </a:rPr>
            <a:t>2.  A district must increase the district average teacher salary and benefits in FY2017 by at least 85% of the total percentage increase (see cell E34).</a:t>
          </a:r>
        </a:p>
        <a:p>
          <a:endParaRPr lang="en-US" sz="1000" baseline="0">
            <a:latin typeface="Ebrima" panose="02000000000000000000" pitchFamily="2" charset="0"/>
            <a:ea typeface="Ebrima" panose="02000000000000000000" pitchFamily="2" charset="0"/>
            <a:cs typeface="Ebrima" panose="02000000000000000000" pitchFamily="2" charset="0"/>
          </a:endParaRPr>
        </a:p>
        <a:p>
          <a:endParaRPr lang="en-US" sz="1000" baseline="0">
            <a:latin typeface="Ebrima" panose="02000000000000000000" pitchFamily="2" charset="0"/>
            <a:ea typeface="Ebrima" panose="02000000000000000000" pitchFamily="2" charset="0"/>
            <a:cs typeface="Ebrima" panose="02000000000000000000" pitchFamily="2" charset="0"/>
          </a:endParaRPr>
        </a:p>
        <a:p>
          <a:r>
            <a:rPr lang="en-US" sz="1000" baseline="0">
              <a:latin typeface="Ebrima" panose="02000000000000000000" pitchFamily="2" charset="0"/>
              <a:ea typeface="Ebrima" panose="02000000000000000000" pitchFamily="2" charset="0"/>
              <a:cs typeface="Ebrima" panose="02000000000000000000" pitchFamily="2" charset="0"/>
            </a:rPr>
            <a:t>A district that fails to comply with these requirements will have its FY2018 state aid to general education funding decreased by an amount equal to fifty percent of the new money.  However, the law created a School Finance Accountabiliy board that can recommend waivers for school districts with good documentation of a just cause for failing to the meet the requirements.</a:t>
          </a:r>
          <a:endParaRPr lang="en-US" sz="1000">
            <a:latin typeface="Ebrima" panose="02000000000000000000" pitchFamily="2" charset="0"/>
            <a:ea typeface="Ebrima" panose="02000000000000000000" pitchFamily="2" charset="0"/>
            <a:cs typeface="Ebrima" panose="02000000000000000000" pitchFamily="2"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295275</xdr:colOff>
      <xdr:row>4</xdr:row>
      <xdr:rowOff>0</xdr:rowOff>
    </xdr:from>
    <xdr:to>
      <xdr:col>15</xdr:col>
      <xdr:colOff>38100</xdr:colOff>
      <xdr:row>28</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emp/Temporary%20Internet%20Files/Content.Outlook/ZRB8MKUL/Est%20Impact%20By%20District_UseTh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mpact by District"/>
      <sheetName val="Assumptions"/>
      <sheetName val="Impact by District_Formula"/>
      <sheetName val="Sliding Scale"/>
      <sheetName val="Sparse Districts and SSA"/>
      <sheetName val="SA v GFR"/>
      <sheetName val="Other Revenues"/>
      <sheetName val="CO"/>
      <sheetName val="Pension"/>
      <sheetName val="Levies Impact"/>
      <sheetName val="NonSalBenCosts"/>
      <sheetName val="OR"/>
      <sheetName val="Sheet2"/>
      <sheetName val="FY16 GSA"/>
      <sheetName val="District 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Aberdeen 06-1</v>
          </cell>
        </row>
        <row r="4">
          <cell r="B4" t="str">
            <v>Agar-Blunt-Onida 58-3</v>
          </cell>
        </row>
        <row r="5">
          <cell r="B5" t="str">
            <v>Alcester-Hudson 61-1</v>
          </cell>
        </row>
        <row r="6">
          <cell r="B6" t="str">
            <v>Andes Central 11-1</v>
          </cell>
        </row>
        <row r="7">
          <cell r="B7" t="str">
            <v>Arlington 38-1</v>
          </cell>
        </row>
        <row r="8">
          <cell r="B8" t="str">
            <v>Armour 21-1</v>
          </cell>
        </row>
        <row r="9">
          <cell r="B9" t="str">
            <v>Avon 04-1</v>
          </cell>
        </row>
        <row r="10">
          <cell r="B10" t="str">
            <v>Baltic 49-1</v>
          </cell>
        </row>
        <row r="11">
          <cell r="B11" t="str">
            <v>Belle Fourche 09-1</v>
          </cell>
        </row>
        <row r="12">
          <cell r="B12" t="str">
            <v>Bennett County 03-1</v>
          </cell>
        </row>
        <row r="13">
          <cell r="B13" t="str">
            <v>Beresford 61-2</v>
          </cell>
        </row>
        <row r="14">
          <cell r="B14" t="str">
            <v>Big Stone City 25-1</v>
          </cell>
        </row>
        <row r="15">
          <cell r="B15" t="str">
            <v>Bison 52-1</v>
          </cell>
        </row>
        <row r="16">
          <cell r="B16" t="str">
            <v>Bon Homme 04-2</v>
          </cell>
        </row>
        <row r="17">
          <cell r="B17" t="str">
            <v>Bowdle 22-1</v>
          </cell>
        </row>
        <row r="18">
          <cell r="B18" t="str">
            <v>Brandon Valley 49-2</v>
          </cell>
        </row>
        <row r="19">
          <cell r="B19" t="str">
            <v>Bridgewater-Emery 30-3</v>
          </cell>
        </row>
        <row r="20">
          <cell r="B20" t="str">
            <v>Britton - Hecla 45-4</v>
          </cell>
        </row>
        <row r="21">
          <cell r="B21" t="str">
            <v>Brookings 05-1</v>
          </cell>
        </row>
        <row r="22">
          <cell r="B22" t="str">
            <v>Burke 26-2</v>
          </cell>
        </row>
        <row r="23">
          <cell r="B23" t="str">
            <v>Canistota 43-1</v>
          </cell>
        </row>
        <row r="24">
          <cell r="B24" t="str">
            <v>Canton 41-1</v>
          </cell>
        </row>
        <row r="25">
          <cell r="B25" t="str">
            <v>Castlewood 28-1</v>
          </cell>
        </row>
        <row r="26">
          <cell r="B26" t="str">
            <v>Centerville 60-1</v>
          </cell>
        </row>
        <row r="27">
          <cell r="B27" t="str">
            <v>Chamberlain 07-1</v>
          </cell>
        </row>
        <row r="28">
          <cell r="B28" t="str">
            <v>Chester 39-1</v>
          </cell>
        </row>
        <row r="29">
          <cell r="B29" t="str">
            <v>Clark 12-2</v>
          </cell>
        </row>
        <row r="30">
          <cell r="B30" t="str">
            <v>Colman-Egan 50-5</v>
          </cell>
        </row>
        <row r="31">
          <cell r="B31" t="str">
            <v>Colome Consolidated 59-3</v>
          </cell>
        </row>
        <row r="32">
          <cell r="B32" t="str">
            <v>Corsica-Stickney 21-3</v>
          </cell>
        </row>
        <row r="33">
          <cell r="B33" t="str">
            <v>Custer 16-1</v>
          </cell>
        </row>
        <row r="34">
          <cell r="B34" t="str">
            <v>Dakota Valley 61-8</v>
          </cell>
        </row>
        <row r="35">
          <cell r="B35" t="str">
            <v>De Smet 38-2</v>
          </cell>
        </row>
        <row r="36">
          <cell r="B36" t="str">
            <v>Dell Rapids 49-3</v>
          </cell>
        </row>
        <row r="37">
          <cell r="B37" t="str">
            <v>Deubrook 05-6</v>
          </cell>
        </row>
        <row r="38">
          <cell r="B38" t="str">
            <v>Deuel 19-4</v>
          </cell>
        </row>
        <row r="39">
          <cell r="B39" t="str">
            <v>Doland 56-2</v>
          </cell>
        </row>
        <row r="40">
          <cell r="B40" t="str">
            <v>Douglas 51-1</v>
          </cell>
        </row>
        <row r="41">
          <cell r="B41" t="str">
            <v>Dupree 64-2</v>
          </cell>
        </row>
        <row r="42">
          <cell r="B42" t="str">
            <v>Eagle Butte 20-1</v>
          </cell>
        </row>
        <row r="43">
          <cell r="B43" t="str">
            <v>Edgemont 23-1</v>
          </cell>
        </row>
        <row r="44">
          <cell r="B44" t="str">
            <v>Edmunds Central 22-5</v>
          </cell>
        </row>
        <row r="45">
          <cell r="B45" t="str">
            <v>Elk Mountain 16-2</v>
          </cell>
        </row>
        <row r="46">
          <cell r="B46" t="str">
            <v>Elk Point-Jefferson 61-7</v>
          </cell>
        </row>
        <row r="47">
          <cell r="B47" t="str">
            <v>Elkton 05-3</v>
          </cell>
        </row>
        <row r="48">
          <cell r="B48" t="str">
            <v>Estelline 28-2</v>
          </cell>
        </row>
        <row r="49">
          <cell r="B49" t="str">
            <v>Ethan 17-1</v>
          </cell>
        </row>
        <row r="50">
          <cell r="B50" t="str">
            <v>Eureka 44-1</v>
          </cell>
        </row>
        <row r="51">
          <cell r="B51" t="str">
            <v>Faith 46-2</v>
          </cell>
        </row>
        <row r="52">
          <cell r="B52" t="str">
            <v>Faulkton Area 24-4</v>
          </cell>
        </row>
        <row r="53">
          <cell r="B53" t="str">
            <v>Flandreau 50-3</v>
          </cell>
        </row>
        <row r="54">
          <cell r="B54" t="str">
            <v>Florence 14-1</v>
          </cell>
        </row>
        <row r="55">
          <cell r="B55" t="str">
            <v>Frederick Area 06-2</v>
          </cell>
        </row>
        <row r="56">
          <cell r="B56" t="str">
            <v>Freeman 33-1</v>
          </cell>
        </row>
        <row r="57">
          <cell r="B57" t="str">
            <v>Garretson 49-4</v>
          </cell>
        </row>
        <row r="58">
          <cell r="B58" t="str">
            <v>Gayville-Volin 63-1</v>
          </cell>
        </row>
        <row r="59">
          <cell r="B59" t="str">
            <v>Gettysburg 53-1</v>
          </cell>
        </row>
        <row r="60">
          <cell r="B60" t="str">
            <v>Grant-Deuel 25-3</v>
          </cell>
        </row>
        <row r="61">
          <cell r="B61" t="str">
            <v>Gregory 26-4</v>
          </cell>
        </row>
        <row r="62">
          <cell r="B62" t="str">
            <v>Groton Area 06-6</v>
          </cell>
        </row>
        <row r="63">
          <cell r="B63" t="str">
            <v>Haakon 27-1</v>
          </cell>
        </row>
        <row r="64">
          <cell r="B64" t="str">
            <v>Hamlin 28-3</v>
          </cell>
        </row>
        <row r="65">
          <cell r="B65" t="str">
            <v>Hanson 30-1</v>
          </cell>
        </row>
        <row r="66">
          <cell r="B66" t="str">
            <v>Harding County 31-1</v>
          </cell>
        </row>
        <row r="67">
          <cell r="B67" t="str">
            <v>Harrisburg 41-2</v>
          </cell>
        </row>
        <row r="68">
          <cell r="B68" t="str">
            <v>Henry 14-2</v>
          </cell>
        </row>
        <row r="69">
          <cell r="B69" t="str">
            <v>Herreid 10-1</v>
          </cell>
        </row>
        <row r="70">
          <cell r="B70" t="str">
            <v>Highmore-Harrold 34-2</v>
          </cell>
        </row>
        <row r="71">
          <cell r="B71" t="str">
            <v>Hill City 51-2</v>
          </cell>
        </row>
        <row r="72">
          <cell r="B72" t="str">
            <v>Hitchcock-Tulare 56-6</v>
          </cell>
        </row>
        <row r="73">
          <cell r="B73" t="str">
            <v>Hot Springs 23-2</v>
          </cell>
        </row>
        <row r="74">
          <cell r="B74" t="str">
            <v>Hoven 53-2</v>
          </cell>
        </row>
        <row r="75">
          <cell r="B75" t="str">
            <v>Howard 48-3</v>
          </cell>
        </row>
        <row r="76">
          <cell r="B76" t="str">
            <v>Huron 02-2</v>
          </cell>
        </row>
        <row r="77">
          <cell r="B77" t="str">
            <v>Ipswich Public 22-6</v>
          </cell>
        </row>
        <row r="78">
          <cell r="B78" t="str">
            <v>Irene-Wakonda 13-3</v>
          </cell>
        </row>
        <row r="79">
          <cell r="B79" t="str">
            <v>Iroquois 02-3</v>
          </cell>
        </row>
        <row r="80">
          <cell r="B80" t="str">
            <v>Jones County 37-3</v>
          </cell>
        </row>
        <row r="81">
          <cell r="B81" t="str">
            <v>Kadoka Area 35-2</v>
          </cell>
        </row>
        <row r="82">
          <cell r="B82" t="str">
            <v>Kimball 07-2</v>
          </cell>
        </row>
        <row r="83">
          <cell r="B83" t="str">
            <v>Lake Preston 38-3</v>
          </cell>
        </row>
        <row r="84">
          <cell r="B84" t="str">
            <v>Langford Area 45-5</v>
          </cell>
        </row>
        <row r="85">
          <cell r="B85" t="str">
            <v>Lead-Deadwood 40-1</v>
          </cell>
        </row>
        <row r="86">
          <cell r="B86" t="str">
            <v>Lemmon 52-4</v>
          </cell>
        </row>
        <row r="87">
          <cell r="B87" t="str">
            <v>Lennox 41-4</v>
          </cell>
        </row>
        <row r="88">
          <cell r="B88" t="str">
            <v>Leola 44-2</v>
          </cell>
        </row>
        <row r="89">
          <cell r="B89" t="str">
            <v>Lyman 42-1</v>
          </cell>
        </row>
        <row r="90">
          <cell r="B90" t="str">
            <v>Madison Central 39-2</v>
          </cell>
        </row>
        <row r="91">
          <cell r="B91" t="str">
            <v>Marion 60-3</v>
          </cell>
        </row>
        <row r="92">
          <cell r="B92" t="str">
            <v>McCook Central 43-7</v>
          </cell>
        </row>
        <row r="93">
          <cell r="B93" t="str">
            <v>McIntosh 15-1</v>
          </cell>
        </row>
        <row r="94">
          <cell r="B94" t="str">
            <v>McLaughlin 15-2</v>
          </cell>
        </row>
        <row r="95">
          <cell r="B95" t="str">
            <v>Meade 46-1</v>
          </cell>
        </row>
        <row r="96">
          <cell r="B96" t="str">
            <v>Menno 33-2</v>
          </cell>
        </row>
        <row r="97">
          <cell r="B97" t="str">
            <v>Milbank 25-4</v>
          </cell>
        </row>
        <row r="98">
          <cell r="B98" t="str">
            <v>Miller 29-4</v>
          </cell>
        </row>
        <row r="99">
          <cell r="B99" t="str">
            <v>Mitchell 17-2</v>
          </cell>
        </row>
        <row r="100">
          <cell r="B100" t="str">
            <v>Mobridge-Pollock 62-6</v>
          </cell>
        </row>
        <row r="101">
          <cell r="B101" t="str">
            <v>Montrose 43-2</v>
          </cell>
        </row>
        <row r="102">
          <cell r="B102" t="str">
            <v>Mount Vernon 17-3</v>
          </cell>
        </row>
        <row r="103">
          <cell r="B103" t="str">
            <v>New Underwood 51-3</v>
          </cell>
        </row>
        <row r="104">
          <cell r="B104" t="str">
            <v>Newell 09-2</v>
          </cell>
        </row>
        <row r="105">
          <cell r="B105" t="str">
            <v>Northwestern Area 56-7</v>
          </cell>
        </row>
        <row r="106">
          <cell r="B106" t="str">
            <v>Oelrichs 23-3</v>
          </cell>
        </row>
        <row r="107">
          <cell r="B107" t="str">
            <v>Oglala Lakota County 65-1</v>
          </cell>
        </row>
        <row r="108">
          <cell r="B108" t="str">
            <v>Oldham-Ramona 39-5</v>
          </cell>
        </row>
        <row r="109">
          <cell r="B109" t="str">
            <v>Parker 60-4</v>
          </cell>
        </row>
        <row r="110">
          <cell r="B110" t="str">
            <v>Parkston 33-3</v>
          </cell>
        </row>
        <row r="111">
          <cell r="B111" t="str">
            <v>Pierre 32-2</v>
          </cell>
        </row>
        <row r="112">
          <cell r="B112" t="str">
            <v>Plankinton 01-1</v>
          </cell>
        </row>
        <row r="113">
          <cell r="B113" t="str">
            <v>Platte-Geddes 11-5</v>
          </cell>
        </row>
        <row r="114">
          <cell r="B114" t="str">
            <v>Rapid City 51-4</v>
          </cell>
        </row>
        <row r="115">
          <cell r="B115" t="str">
            <v>Redfield 56-4</v>
          </cell>
        </row>
        <row r="116">
          <cell r="B116" t="str">
            <v>Rosholt 54-4</v>
          </cell>
        </row>
        <row r="117">
          <cell r="B117" t="str">
            <v>Rutland 39-4</v>
          </cell>
        </row>
        <row r="118">
          <cell r="B118" t="str">
            <v>Sanborn Central 55-5</v>
          </cell>
        </row>
        <row r="119">
          <cell r="B119" t="str">
            <v>Scotland 04-3</v>
          </cell>
        </row>
        <row r="120">
          <cell r="B120" t="str">
            <v>Selby 62-5</v>
          </cell>
        </row>
        <row r="121">
          <cell r="B121" t="str">
            <v>Sioux Falls 49-5</v>
          </cell>
        </row>
        <row r="122">
          <cell r="B122" t="str">
            <v>Sioux Valley 05-5</v>
          </cell>
        </row>
        <row r="123">
          <cell r="B123" t="str">
            <v>Sisseton 54-2</v>
          </cell>
        </row>
        <row r="124">
          <cell r="B124" t="str">
            <v>Smee 15-3</v>
          </cell>
        </row>
        <row r="125">
          <cell r="B125" t="str">
            <v>South Central 26-5</v>
          </cell>
        </row>
        <row r="126">
          <cell r="B126" t="str">
            <v>Spearfish 40-2</v>
          </cell>
        </row>
        <row r="127">
          <cell r="B127" t="str">
            <v>Stanley County 57-1</v>
          </cell>
        </row>
        <row r="128">
          <cell r="B128" t="str">
            <v>Summit 54-6</v>
          </cell>
        </row>
        <row r="129">
          <cell r="B129" t="str">
            <v>Tea Area 41-5</v>
          </cell>
        </row>
        <row r="130">
          <cell r="B130" t="str">
            <v>Timber Lake 20-3</v>
          </cell>
        </row>
        <row r="131">
          <cell r="B131" t="str">
            <v>Todd County 66-1</v>
          </cell>
        </row>
        <row r="132">
          <cell r="B132" t="str">
            <v>Tri-Valley 49-6</v>
          </cell>
        </row>
        <row r="133">
          <cell r="B133" t="str">
            <v>Tripp-Delmont 33-5</v>
          </cell>
        </row>
        <row r="134">
          <cell r="B134" t="str">
            <v>Vermillion 13-1</v>
          </cell>
        </row>
        <row r="135">
          <cell r="B135" t="str">
            <v>Viborg -Hurley 60-6</v>
          </cell>
        </row>
        <row r="136">
          <cell r="B136" t="str">
            <v>Wagner 11-4</v>
          </cell>
        </row>
        <row r="137">
          <cell r="B137" t="str">
            <v>Wall 51-5</v>
          </cell>
        </row>
        <row r="138">
          <cell r="B138" t="str">
            <v>Warner 06-5</v>
          </cell>
        </row>
        <row r="139">
          <cell r="B139" t="str">
            <v>Watertown 14-4</v>
          </cell>
        </row>
        <row r="140">
          <cell r="B140" t="str">
            <v>Waubay 18-3</v>
          </cell>
        </row>
        <row r="141">
          <cell r="B141" t="str">
            <v>Waverly 14-5</v>
          </cell>
        </row>
        <row r="142">
          <cell r="B142" t="str">
            <v>Webster Area 18-5</v>
          </cell>
        </row>
        <row r="143">
          <cell r="B143" t="str">
            <v>Wessington Springs 36-2</v>
          </cell>
        </row>
        <row r="144">
          <cell r="B144" t="str">
            <v>West Central 49-7</v>
          </cell>
        </row>
        <row r="145">
          <cell r="B145" t="str">
            <v>White Lake 01-3</v>
          </cell>
        </row>
        <row r="146">
          <cell r="B146" t="str">
            <v>White River 47-1</v>
          </cell>
        </row>
        <row r="147">
          <cell r="B147" t="str">
            <v>Willow Lake 12-3</v>
          </cell>
        </row>
        <row r="148">
          <cell r="B148" t="str">
            <v>Wilmot 54-7</v>
          </cell>
        </row>
        <row r="149">
          <cell r="B149" t="str">
            <v>Winner 59-2</v>
          </cell>
        </row>
        <row r="150">
          <cell r="B150" t="str">
            <v>Wolsey-Wessington 02-6</v>
          </cell>
        </row>
        <row r="151">
          <cell r="B151" t="str">
            <v>Woonsocket 55-4</v>
          </cell>
        </row>
        <row r="152">
          <cell r="B152" t="str">
            <v>Yankton 63-3</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theme="3" tint="0.79998168889431442"/>
    <pageSetUpPr fitToPage="1"/>
  </sheetPr>
  <dimension ref="A1:L39"/>
  <sheetViews>
    <sheetView tabSelected="1" zoomScaleNormal="100" zoomScalePageLayoutView="90" workbookViewId="0">
      <selection activeCell="G4" sqref="G1:H1048576"/>
    </sheetView>
  </sheetViews>
  <sheetFormatPr defaultColWidth="8.85546875" defaultRowHeight="16.5" x14ac:dyDescent="0.4"/>
  <cols>
    <col min="1" max="1" width="53.28515625" style="1" bestFit="1" customWidth="1"/>
    <col min="2" max="2" width="18.42578125" style="17" bestFit="1" customWidth="1"/>
    <col min="3" max="3" width="10.140625" style="1" bestFit="1" customWidth="1"/>
    <col min="4" max="4" width="77.42578125" style="1" bestFit="1" customWidth="1"/>
    <col min="5" max="5" width="19.5703125" style="2" bestFit="1" customWidth="1"/>
    <col min="6" max="6" width="24.28515625" style="1" customWidth="1"/>
    <col min="7" max="7" width="9.140625" style="118"/>
    <col min="8" max="8" width="10" style="118" bestFit="1" customWidth="1"/>
    <col min="9" max="9" width="9.140625" style="118"/>
    <col min="10" max="10" width="12.5703125" style="118" customWidth="1"/>
    <col min="11" max="11" width="15.5703125" style="118" customWidth="1"/>
    <col min="12" max="12" width="11.85546875" style="118" bestFit="1" customWidth="1"/>
    <col min="13" max="16384" width="8.85546875" style="1"/>
  </cols>
  <sheetData>
    <row r="1" spans="1:12" s="3" customFormat="1" ht="27" x14ac:dyDescent="0.65">
      <c r="A1" s="140" t="s">
        <v>196</v>
      </c>
      <c r="B1" s="140"/>
      <c r="C1" s="140"/>
      <c r="D1" s="90" t="s">
        <v>65</v>
      </c>
      <c r="E1" s="4" t="s">
        <v>0</v>
      </c>
      <c r="F1" s="125">
        <f>INDEX('District Data'!$A$3:$A$154,MATCH($D$1,'District Data'!$B$3:$B$154,0),0)</f>
        <v>4002</v>
      </c>
      <c r="G1" s="114"/>
      <c r="H1" s="114"/>
      <c r="I1" s="114"/>
      <c r="J1" s="114"/>
      <c r="K1" s="114"/>
      <c r="L1" s="114"/>
    </row>
    <row r="2" spans="1:12" s="3" customFormat="1" ht="27" x14ac:dyDescent="0.65">
      <c r="A2" s="46"/>
      <c r="B2" s="46"/>
      <c r="C2" s="46"/>
      <c r="D2" s="40"/>
      <c r="E2" s="4"/>
      <c r="F2" s="7"/>
      <c r="I2" s="114"/>
      <c r="J2" s="114"/>
      <c r="K2" s="114"/>
      <c r="L2" s="114"/>
    </row>
    <row r="3" spans="1:12" s="3" customFormat="1" ht="57" customHeight="1" x14ac:dyDescent="0.4">
      <c r="A3" s="5" t="s">
        <v>4</v>
      </c>
      <c r="B3" s="33" t="s">
        <v>2</v>
      </c>
      <c r="C3" s="79" t="s">
        <v>3</v>
      </c>
      <c r="E3" s="4"/>
      <c r="F3" s="7"/>
      <c r="I3" s="114"/>
      <c r="J3" s="114"/>
      <c r="K3" s="114"/>
      <c r="L3" s="114"/>
    </row>
    <row r="4" spans="1:12" s="3" customFormat="1" x14ac:dyDescent="0.4">
      <c r="A4" s="6" t="s">
        <v>194</v>
      </c>
      <c r="B4" s="29">
        <v>200</v>
      </c>
      <c r="C4" s="8">
        <v>12</v>
      </c>
      <c r="E4" s="4"/>
      <c r="F4" s="7"/>
      <c r="I4" s="114"/>
      <c r="J4" s="114"/>
      <c r="K4" s="114"/>
      <c r="L4" s="114"/>
    </row>
    <row r="5" spans="1:12" x14ac:dyDescent="0.4">
      <c r="A5" s="9" t="s">
        <v>195</v>
      </c>
      <c r="B5" s="30">
        <v>600</v>
      </c>
      <c r="C5" s="31">
        <v>15</v>
      </c>
      <c r="F5" s="10"/>
      <c r="I5" s="114"/>
      <c r="J5" s="114"/>
      <c r="K5" s="114"/>
      <c r="L5" s="114"/>
    </row>
    <row r="6" spans="1:12" x14ac:dyDescent="0.4">
      <c r="F6" s="10"/>
      <c r="I6" s="114"/>
      <c r="J6" s="114"/>
      <c r="K6" s="114"/>
      <c r="L6" s="114"/>
    </row>
    <row r="7" spans="1:12" x14ac:dyDescent="0.4">
      <c r="F7" s="10"/>
      <c r="I7" s="114"/>
      <c r="J7" s="114"/>
      <c r="K7" s="114"/>
      <c r="L7" s="114"/>
    </row>
    <row r="8" spans="1:12" x14ac:dyDescent="0.4">
      <c r="F8" s="10"/>
      <c r="I8" s="114"/>
      <c r="J8" s="114"/>
      <c r="K8" s="114"/>
      <c r="L8" s="114"/>
    </row>
    <row r="9" spans="1:12" x14ac:dyDescent="0.4">
      <c r="A9" s="80" t="s">
        <v>164</v>
      </c>
      <c r="B9" s="81"/>
      <c r="D9" s="80" t="s">
        <v>9</v>
      </c>
      <c r="E9" s="120"/>
      <c r="F9" s="10"/>
      <c r="I9" s="114"/>
      <c r="J9" s="114"/>
      <c r="K9" s="114"/>
      <c r="L9" s="114"/>
    </row>
    <row r="10" spans="1:12" x14ac:dyDescent="0.4">
      <c r="A10" s="12" t="s">
        <v>165</v>
      </c>
      <c r="B10" s="35">
        <f>INDEX('District Data'!J3:J154,MATCH($F1,'District Data'!A3:A154,0),0)</f>
        <v>485.51</v>
      </c>
      <c r="C10" s="10"/>
      <c r="D10" s="12" t="s">
        <v>7</v>
      </c>
      <c r="E10" s="121">
        <f>INDEX('District Data'!$I$3:$I$154,MATCH($F$1,'District Data'!$A$3:$A$154,0),0)</f>
        <v>11</v>
      </c>
      <c r="F10" s="10"/>
      <c r="I10" s="114"/>
      <c r="J10" s="114"/>
      <c r="K10" s="114"/>
      <c r="L10" s="114"/>
    </row>
    <row r="11" spans="1:12" x14ac:dyDescent="0.4">
      <c r="A11" s="9" t="s">
        <v>187</v>
      </c>
      <c r="B11" s="13">
        <f>IF($B$10&lt;200,12,IF($B$10&gt;600,15,($B$10*0.0075)+10.5))</f>
        <v>14.141325</v>
      </c>
      <c r="C11" s="10"/>
      <c r="D11" s="9" t="s">
        <v>8</v>
      </c>
      <c r="E11" s="122">
        <v>0.25</v>
      </c>
      <c r="F11" s="10"/>
      <c r="I11" s="114"/>
      <c r="J11" s="114"/>
      <c r="K11" s="114"/>
      <c r="L11" s="114"/>
    </row>
    <row r="12" spans="1:12" x14ac:dyDescent="0.4">
      <c r="A12" s="9" t="s">
        <v>166</v>
      </c>
      <c r="B12" s="14">
        <f>INDEX('District Data'!$M$3:$M$154,MATCH($F$1,'District Data'!$A$3:$A$154,0),0)</f>
        <v>34.332709275828115</v>
      </c>
      <c r="C12" s="10"/>
      <c r="D12" s="12" t="s">
        <v>10</v>
      </c>
      <c r="E12" s="123">
        <f>IF(E10=0,0,E10*E11)</f>
        <v>2.75</v>
      </c>
      <c r="F12" s="10"/>
      <c r="I12" s="114"/>
      <c r="J12" s="114"/>
      <c r="K12" s="114"/>
      <c r="L12" s="114"/>
    </row>
    <row r="13" spans="1:12" ht="17.25" thickBot="1" x14ac:dyDescent="0.45">
      <c r="A13" s="10"/>
      <c r="B13" s="15"/>
      <c r="C13" s="10"/>
      <c r="D13" s="16" t="s">
        <v>11</v>
      </c>
      <c r="E13" s="124">
        <f>E12/B11</f>
        <v>0.19446551154152811</v>
      </c>
      <c r="F13" s="10"/>
      <c r="I13" s="114"/>
      <c r="J13" s="114"/>
      <c r="K13" s="126"/>
      <c r="L13" s="114"/>
    </row>
    <row r="14" spans="1:12" ht="17.25" thickTop="1" x14ac:dyDescent="0.4">
      <c r="C14" s="10"/>
      <c r="I14" s="114"/>
      <c r="J14" s="114" t="s">
        <v>0</v>
      </c>
      <c r="K14" s="114"/>
      <c r="L14" s="114"/>
    </row>
    <row r="15" spans="1:12" x14ac:dyDescent="0.4">
      <c r="A15" s="11" t="s">
        <v>167</v>
      </c>
      <c r="B15" s="18"/>
      <c r="C15" s="10"/>
      <c r="D15" s="11" t="s">
        <v>12</v>
      </c>
      <c r="E15" s="18"/>
      <c r="H15" s="115"/>
      <c r="I15" s="115"/>
      <c r="J15" s="115"/>
      <c r="K15" s="115"/>
      <c r="L15" s="115"/>
    </row>
    <row r="16" spans="1:12" x14ac:dyDescent="0.4">
      <c r="A16" s="12" t="s">
        <v>168</v>
      </c>
      <c r="B16" s="103">
        <v>48500</v>
      </c>
      <c r="C16" s="10"/>
      <c r="D16" s="12" t="s">
        <v>168</v>
      </c>
      <c r="E16" s="103">
        <f>B16</f>
        <v>48500</v>
      </c>
      <c r="H16" s="115"/>
      <c r="I16" s="115"/>
      <c r="J16" s="115"/>
      <c r="K16" s="115"/>
      <c r="L16" s="115"/>
    </row>
    <row r="17" spans="1:12" x14ac:dyDescent="0.4">
      <c r="A17" s="9" t="s">
        <v>189</v>
      </c>
      <c r="B17" s="32">
        <v>0.28999999999999998</v>
      </c>
      <c r="C17" s="10"/>
      <c r="D17" s="9" t="s">
        <v>189</v>
      </c>
      <c r="E17" s="32">
        <f>B17</f>
        <v>0.28999999999999998</v>
      </c>
      <c r="H17" s="115"/>
      <c r="I17" s="115"/>
      <c r="J17" s="115"/>
      <c r="K17" s="115"/>
      <c r="L17" s="115"/>
    </row>
    <row r="18" spans="1:12" x14ac:dyDescent="0.4">
      <c r="A18" s="12" t="s">
        <v>169</v>
      </c>
      <c r="B18" s="102">
        <f>ROUND(B16*(1+B17),0)</f>
        <v>62565</v>
      </c>
      <c r="C18" s="10"/>
      <c r="D18" s="12" t="s">
        <v>169</v>
      </c>
      <c r="E18" s="102">
        <f>ROUND(E16*(1+E17),0)</f>
        <v>62565</v>
      </c>
      <c r="H18" s="115"/>
      <c r="I18" s="115"/>
      <c r="J18" s="115"/>
      <c r="K18" s="115"/>
      <c r="L18" s="115"/>
    </row>
    <row r="19" spans="1:12" ht="17.25" thickBot="1" x14ac:dyDescent="0.45">
      <c r="A19" s="19" t="s">
        <v>170</v>
      </c>
      <c r="B19" s="101">
        <f>B18*B12</f>
        <v>2148025.9558421862</v>
      </c>
      <c r="C19" s="10"/>
      <c r="D19" s="19" t="s">
        <v>170</v>
      </c>
      <c r="E19" s="20">
        <f>E18*E13</f>
        <v>12166.734729595706</v>
      </c>
      <c r="H19" s="115"/>
      <c r="I19" s="115"/>
      <c r="J19" s="115"/>
      <c r="K19" s="115"/>
      <c r="L19" s="115"/>
    </row>
    <row r="20" spans="1:12" ht="17.25" thickTop="1" x14ac:dyDescent="0.4">
      <c r="C20" s="10"/>
      <c r="E20" s="17"/>
      <c r="H20" s="115"/>
      <c r="I20" s="115"/>
      <c r="J20" s="115"/>
      <c r="K20" s="115"/>
      <c r="L20" s="115"/>
    </row>
    <row r="21" spans="1:12" x14ac:dyDescent="0.4">
      <c r="A21" s="11" t="s">
        <v>163</v>
      </c>
      <c r="B21" s="18"/>
      <c r="C21" s="10"/>
      <c r="D21" s="11" t="s">
        <v>163</v>
      </c>
      <c r="E21" s="18"/>
      <c r="H21" s="115"/>
      <c r="I21" s="115"/>
      <c r="J21" s="115"/>
      <c r="K21" s="115"/>
      <c r="L21" s="115"/>
    </row>
    <row r="22" spans="1:12" x14ac:dyDescent="0.4">
      <c r="A22" s="12" t="s">
        <v>188</v>
      </c>
      <c r="B22" s="21">
        <v>0.31</v>
      </c>
      <c r="C22" s="22"/>
      <c r="D22" s="12" t="s">
        <v>188</v>
      </c>
      <c r="E22" s="34">
        <f>B22</f>
        <v>0.31</v>
      </c>
      <c r="H22" s="115"/>
      <c r="I22" s="115"/>
      <c r="J22" s="115"/>
      <c r="K22" s="115"/>
      <c r="L22" s="115"/>
    </row>
    <row r="23" spans="1:12" x14ac:dyDescent="0.4">
      <c r="A23" s="23" t="s">
        <v>5</v>
      </c>
      <c r="B23" s="98">
        <f>B19*B22</f>
        <v>665888.04631107778</v>
      </c>
      <c r="C23" s="24"/>
      <c r="D23" s="23" t="s">
        <v>5</v>
      </c>
      <c r="E23" s="98">
        <f>E19*E22</f>
        <v>3771.6877661746689</v>
      </c>
      <c r="H23" s="115"/>
      <c r="I23" s="115"/>
      <c r="J23" s="115"/>
      <c r="K23" s="115"/>
      <c r="L23" s="115"/>
    </row>
    <row r="24" spans="1:12" x14ac:dyDescent="0.4">
      <c r="A24" s="7"/>
      <c r="B24" s="99"/>
      <c r="C24" s="10"/>
      <c r="D24" s="7"/>
      <c r="E24" s="25"/>
      <c r="H24" s="116"/>
      <c r="I24" s="116"/>
      <c r="J24" s="116"/>
      <c r="K24" s="116"/>
      <c r="L24" s="116"/>
    </row>
    <row r="25" spans="1:12" ht="23.25" customHeight="1" thickBot="1" x14ac:dyDescent="0.45">
      <c r="A25" s="26" t="s">
        <v>6</v>
      </c>
      <c r="B25" s="100">
        <f>B19+B23</f>
        <v>2813914.0021532639</v>
      </c>
      <c r="D25" s="95" t="s">
        <v>6</v>
      </c>
      <c r="E25" s="104">
        <f>E19+E23</f>
        <v>15938.422495770375</v>
      </c>
      <c r="H25" s="117"/>
      <c r="I25" s="117"/>
      <c r="J25" s="117"/>
      <c r="K25" s="117"/>
      <c r="L25" s="115"/>
    </row>
    <row r="26" spans="1:12" s="27" customFormat="1" ht="27.75" thickTop="1" thickBot="1" x14ac:dyDescent="0.7">
      <c r="A26" s="76"/>
      <c r="B26" s="77"/>
      <c r="D26" s="96" t="s">
        <v>171</v>
      </c>
      <c r="E26" s="97">
        <f>B25+E25</f>
        <v>2829852.4246490342</v>
      </c>
      <c r="H26" s="115"/>
      <c r="I26" s="115"/>
      <c r="J26" s="115"/>
      <c r="K26" s="115"/>
      <c r="L26" s="115"/>
    </row>
    <row r="27" spans="1:12" s="36" customFormat="1" ht="30.75" customHeight="1" x14ac:dyDescent="0.5">
      <c r="B27" s="37"/>
      <c r="D27" s="74" t="s">
        <v>172</v>
      </c>
      <c r="E27" s="75">
        <f>INDEX('District Data'!$G$3:$G$154,MATCH($F$1,'District Data'!$A$3:$A$154,0),0)</f>
        <v>100823.24550599999</v>
      </c>
      <c r="F27" s="39"/>
      <c r="G27" s="118"/>
      <c r="H27" s="118"/>
      <c r="I27" s="118"/>
      <c r="J27" s="118"/>
      <c r="K27" s="118"/>
      <c r="L27" s="119" t="s">
        <v>0</v>
      </c>
    </row>
    <row r="28" spans="1:12" s="36" customFormat="1" ht="20.25" x14ac:dyDescent="0.5">
      <c r="B28" s="37"/>
      <c r="D28" s="74" t="s">
        <v>201</v>
      </c>
      <c r="E28" s="75">
        <f>E26-E27</f>
        <v>2729029.1791430344</v>
      </c>
      <c r="F28" s="39"/>
      <c r="G28" s="118"/>
      <c r="H28" s="118"/>
      <c r="I28" s="118"/>
      <c r="J28" s="118"/>
      <c r="K28" s="118"/>
      <c r="L28" s="118"/>
    </row>
    <row r="29" spans="1:12" s="36" customFormat="1" ht="20.25" x14ac:dyDescent="0.5">
      <c r="D29" s="74" t="s">
        <v>173</v>
      </c>
      <c r="E29" s="75">
        <f>INDEX('District Data'!$H$3:$H$154,MATCH($F$1,'District Data'!$A$3:$A$154,0),0)</f>
        <v>2652154</v>
      </c>
      <c r="G29" s="118"/>
      <c r="H29" s="118"/>
      <c r="I29" s="118"/>
      <c r="J29" s="118"/>
      <c r="K29" s="118"/>
      <c r="L29" s="118"/>
    </row>
    <row r="30" spans="1:12" s="36" customFormat="1" ht="21" thickBot="1" x14ac:dyDescent="0.55000000000000004">
      <c r="B30" s="37"/>
      <c r="D30" s="74" t="s">
        <v>191</v>
      </c>
      <c r="E30" s="75">
        <f>E28-E29</f>
        <v>76875.179143034387</v>
      </c>
      <c r="F30" s="39"/>
      <c r="G30" s="118"/>
      <c r="H30" s="118"/>
      <c r="I30" s="118"/>
      <c r="J30" s="118"/>
      <c r="K30" s="118"/>
      <c r="L30" s="118"/>
    </row>
    <row r="31" spans="1:12" s="27" customFormat="1" ht="27" thickBot="1" x14ac:dyDescent="0.7">
      <c r="B31" s="28"/>
      <c r="D31" s="71" t="s">
        <v>190</v>
      </c>
      <c r="E31" s="45">
        <f>IF(E30*0.85&lt;0,0,E30*0.85)</f>
        <v>65343.902271579231</v>
      </c>
      <c r="G31" s="118"/>
      <c r="H31" s="118"/>
      <c r="I31" s="118"/>
      <c r="J31" s="118"/>
      <c r="K31" s="118"/>
      <c r="L31" s="118"/>
    </row>
    <row r="32" spans="1:12" s="36" customFormat="1" ht="21" thickBot="1" x14ac:dyDescent="0.55000000000000004">
      <c r="B32" s="37"/>
      <c r="E32" s="38"/>
      <c r="G32" s="118"/>
      <c r="H32" s="118"/>
      <c r="I32" s="118"/>
      <c r="J32" s="118"/>
      <c r="K32" s="118"/>
      <c r="L32" s="118"/>
    </row>
    <row r="33" spans="4:12" s="36" customFormat="1" ht="20.25" x14ac:dyDescent="0.5">
      <c r="D33" s="41" t="s">
        <v>175</v>
      </c>
      <c r="E33" s="72">
        <f>IF((E30/E29)&lt;0,0,E30/E29)</f>
        <v>2.8985940915585741E-2</v>
      </c>
      <c r="G33" s="118"/>
      <c r="H33" s="118"/>
      <c r="I33" s="118"/>
      <c r="J33" s="118"/>
      <c r="K33" s="118"/>
      <c r="L33" s="118"/>
    </row>
    <row r="34" spans="4:12" s="36" customFormat="1" ht="20.25" x14ac:dyDescent="0.5">
      <c r="D34" s="42" t="s">
        <v>192</v>
      </c>
      <c r="E34" s="43">
        <f>E33*0.85</f>
        <v>2.4638049778247878E-2</v>
      </c>
      <c r="G34" s="118"/>
      <c r="H34" s="118"/>
      <c r="I34" s="118"/>
      <c r="J34" s="118"/>
      <c r="K34" s="118"/>
      <c r="L34" s="118"/>
    </row>
    <row r="35" spans="4:12" s="36" customFormat="1" ht="64.5" customHeight="1" thickBot="1" x14ac:dyDescent="0.55000000000000004">
      <c r="D35" s="42" t="s">
        <v>174</v>
      </c>
      <c r="E35" s="44">
        <v>0</v>
      </c>
      <c r="F35" s="91" t="s">
        <v>198</v>
      </c>
      <c r="G35" s="118"/>
      <c r="H35" s="118"/>
      <c r="I35" s="118"/>
      <c r="J35" s="118"/>
      <c r="K35" s="118"/>
      <c r="L35" s="118"/>
    </row>
    <row r="36" spans="4:12" s="27" customFormat="1" ht="27" thickBot="1" x14ac:dyDescent="0.7">
      <c r="D36" s="71" t="s">
        <v>176</v>
      </c>
      <c r="E36" s="78">
        <f>E35*(1+E34)</f>
        <v>0</v>
      </c>
      <c r="G36" s="118"/>
      <c r="H36" s="118"/>
      <c r="I36" s="118"/>
      <c r="J36" s="118"/>
      <c r="K36" s="118"/>
      <c r="L36" s="118"/>
    </row>
    <row r="37" spans="4:12" ht="34.5" customHeight="1" x14ac:dyDescent="0.4">
      <c r="D37" s="141" t="s">
        <v>199</v>
      </c>
      <c r="E37" s="141"/>
    </row>
    <row r="38" spans="4:12" ht="3" customHeight="1" x14ac:dyDescent="0.4"/>
    <row r="39" spans="4:12" ht="54.75" customHeight="1" x14ac:dyDescent="0.4">
      <c r="D39" s="142" t="str">
        <f>INDEX('District Data'!$K$3:$K$154,MATCH($F$1,'District Data'!$A$3:$A$154,0),0)</f>
        <v xml:space="preserve"> </v>
      </c>
      <c r="E39" s="142"/>
    </row>
  </sheetData>
  <mergeCells count="3">
    <mergeCell ref="A1:C1"/>
    <mergeCell ref="D37:E37"/>
    <mergeCell ref="D39:E39"/>
  </mergeCells>
  <conditionalFormatting sqref="D39:E39">
    <cfRule type="containsText" dxfId="0" priority="1" operator="containsText" text="Note">
      <formula>NOT(ISERROR(SEARCH("Note",D39)))</formula>
    </cfRule>
  </conditionalFormatting>
  <dataValidations disablePrompts="1" count="1">
    <dataValidation type="list" allowBlank="1" showInputMessage="1" showErrorMessage="1" sqref="D1">
      <formula1>DistrictName</formula1>
    </dataValidation>
  </dataValidations>
  <pageMargins left="0.45" right="0.45" top="0.5" bottom="0.25" header="0.3" footer="0.3"/>
  <pageSetup scale="63" orientation="landscape" r:id="rId1"/>
  <ignoredErrors>
    <ignoredError sqref="E29" 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dimension ref="A1:BW599"/>
  <sheetViews>
    <sheetView zoomScale="90" zoomScaleNormal="90" workbookViewId="0">
      <pane xSplit="2" ySplit="2" topLeftCell="C17" activePane="bottomRight" state="frozen"/>
      <selection pane="topRight" activeCell="C1" sqref="C1"/>
      <selection pane="bottomLeft" activeCell="A3" sqref="A3"/>
      <selection pane="bottomRight" activeCell="C46" sqref="C46"/>
    </sheetView>
  </sheetViews>
  <sheetFormatPr defaultColWidth="11" defaultRowHeight="15" customHeight="1" x14ac:dyDescent="0.4"/>
  <cols>
    <col min="1" max="1" width="12.28515625" style="65" customWidth="1"/>
    <col min="2" max="2" width="24.5703125" style="48" bestFit="1" customWidth="1"/>
    <col min="3" max="4" width="11" style="48" customWidth="1"/>
    <col min="5" max="5" width="16.7109375" style="48" customWidth="1"/>
    <col min="6" max="7" width="17.5703125" style="48" customWidth="1"/>
    <col min="8" max="8" width="14.85546875" style="48" customWidth="1"/>
    <col min="9" max="9" width="10.7109375" style="48" customWidth="1"/>
    <col min="10" max="10" width="11" style="48" customWidth="1"/>
    <col min="11" max="11" width="11" style="92" customWidth="1"/>
    <col min="12" max="12" width="11" style="83" customWidth="1"/>
    <col min="13" max="13" width="15.7109375" style="86" customWidth="1"/>
    <col min="14" max="14" width="14.5703125" style="48" customWidth="1"/>
    <col min="15" max="17" width="9.28515625" style="108" bestFit="1" customWidth="1"/>
    <col min="18" max="16384" width="11" style="48"/>
  </cols>
  <sheetData>
    <row r="1" spans="1:75" ht="23.25" customHeight="1" x14ac:dyDescent="0.65">
      <c r="A1" s="143" t="s">
        <v>0</v>
      </c>
      <c r="B1" s="143"/>
      <c r="C1" s="47" t="s">
        <v>150</v>
      </c>
      <c r="D1" s="47" t="s">
        <v>177</v>
      </c>
      <c r="E1" s="47">
        <v>2015</v>
      </c>
      <c r="F1" s="47">
        <v>2016</v>
      </c>
      <c r="G1" s="47" t="s">
        <v>178</v>
      </c>
      <c r="H1" s="47" t="s">
        <v>184</v>
      </c>
      <c r="I1" s="47" t="s">
        <v>184</v>
      </c>
    </row>
    <row r="2" spans="1:75" s="53" customFormat="1" ht="93.75" customHeight="1" x14ac:dyDescent="0.4">
      <c r="A2" s="49" t="s">
        <v>1</v>
      </c>
      <c r="B2" s="50" t="s">
        <v>13</v>
      </c>
      <c r="C2" s="50" t="s">
        <v>179</v>
      </c>
      <c r="D2" s="50" t="s">
        <v>179</v>
      </c>
      <c r="E2" s="51" t="s">
        <v>180</v>
      </c>
      <c r="F2" s="51" t="s">
        <v>180</v>
      </c>
      <c r="G2" s="52" t="s">
        <v>181</v>
      </c>
      <c r="H2" s="52" t="s">
        <v>193</v>
      </c>
      <c r="I2" s="52" t="s">
        <v>185</v>
      </c>
      <c r="J2" s="52" t="s">
        <v>186</v>
      </c>
      <c r="K2" s="52" t="s">
        <v>202</v>
      </c>
      <c r="L2" s="52" t="s">
        <v>197</v>
      </c>
      <c r="M2" s="52" t="s">
        <v>166</v>
      </c>
      <c r="N2" s="107" t="s">
        <v>203</v>
      </c>
      <c r="O2" s="109" t="s">
        <v>204</v>
      </c>
      <c r="P2" s="109" t="s">
        <v>205</v>
      </c>
      <c r="Q2" s="109" t="s">
        <v>206</v>
      </c>
    </row>
    <row r="3" spans="1:75" s="58" customFormat="1" ht="15" customHeight="1" thickBot="1" x14ac:dyDescent="0.4">
      <c r="A3" s="54">
        <v>6001</v>
      </c>
      <c r="B3" s="55" t="s">
        <v>129</v>
      </c>
      <c r="C3" s="56">
        <v>0.3</v>
      </c>
      <c r="D3" s="56">
        <v>0.3</v>
      </c>
      <c r="E3" s="57">
        <v>1997237730</v>
      </c>
      <c r="F3" s="57">
        <v>2098292438</v>
      </c>
      <c r="G3" s="57">
        <f>((E3/2*C3)+(F3/2*D3))/1000</f>
        <v>614329.52520000003</v>
      </c>
      <c r="H3" s="73">
        <f>21859998-3384</f>
        <v>21856614</v>
      </c>
      <c r="I3" s="58">
        <v>44</v>
      </c>
      <c r="J3" s="58">
        <v>4470.79</v>
      </c>
      <c r="K3" s="93" t="s">
        <v>0</v>
      </c>
      <c r="L3" s="84">
        <f t="shared" ref="L3:L34" si="0">IF(J3&lt;200,12,IF(J3&gt;600,15,(J3*0.0075)+10.5))</f>
        <v>15</v>
      </c>
      <c r="M3" s="87">
        <f t="shared" ref="M3:M34" si="1">J3/L3</f>
        <v>298.05266666666665</v>
      </c>
      <c r="N3" s="106">
        <v>24488545.377900001</v>
      </c>
      <c r="O3" s="110">
        <v>4255.4799999999996</v>
      </c>
      <c r="P3" s="110">
        <v>4351.5200000000004</v>
      </c>
      <c r="Q3" s="110">
        <v>4470.79</v>
      </c>
    </row>
    <row r="4" spans="1:75" s="58" customFormat="1" ht="15" customHeight="1" x14ac:dyDescent="0.4">
      <c r="A4" s="59">
        <v>58003</v>
      </c>
      <c r="B4" s="55" t="s">
        <v>97</v>
      </c>
      <c r="C4" s="56">
        <v>0.1</v>
      </c>
      <c r="D4" s="56">
        <v>0.1</v>
      </c>
      <c r="E4" s="57">
        <v>861084357</v>
      </c>
      <c r="F4" s="57">
        <v>1017771437</v>
      </c>
      <c r="G4" s="57">
        <f t="shared" ref="G4:G67" si="2">((E4/2*C4)+(F4/2*D4))/1000</f>
        <v>93942.789700000008</v>
      </c>
      <c r="H4" s="57">
        <v>1510517</v>
      </c>
      <c r="I4" s="58">
        <v>0</v>
      </c>
      <c r="J4" s="58">
        <v>262.10000000000002</v>
      </c>
      <c r="K4" s="105" t="s">
        <v>200</v>
      </c>
      <c r="L4" s="84">
        <f t="shared" si="0"/>
        <v>12.46575</v>
      </c>
      <c r="M4" s="87">
        <f t="shared" si="1"/>
        <v>21.025610171870927</v>
      </c>
      <c r="N4" s="106">
        <v>1723262.1635280671</v>
      </c>
      <c r="O4" s="111">
        <v>275</v>
      </c>
      <c r="P4" s="111">
        <v>267</v>
      </c>
      <c r="Q4" s="111">
        <v>262.10000000000002</v>
      </c>
    </row>
    <row r="5" spans="1:75" s="58" customFormat="1" ht="15" customHeight="1" x14ac:dyDescent="0.35">
      <c r="A5" s="54">
        <v>61001</v>
      </c>
      <c r="B5" s="55" t="s">
        <v>45</v>
      </c>
      <c r="C5" s="56">
        <v>0.3</v>
      </c>
      <c r="D5" s="56">
        <v>0.3</v>
      </c>
      <c r="E5" s="57">
        <v>296537866</v>
      </c>
      <c r="F5" s="57">
        <v>328989436</v>
      </c>
      <c r="G5" s="57">
        <f t="shared" si="2"/>
        <v>93829.095300000001</v>
      </c>
      <c r="H5" s="57">
        <v>1594998</v>
      </c>
      <c r="I5" s="58">
        <v>0</v>
      </c>
      <c r="J5" s="58">
        <v>279.63</v>
      </c>
      <c r="K5" s="93" t="s">
        <v>0</v>
      </c>
      <c r="L5" s="84">
        <f t="shared" si="0"/>
        <v>12.597225</v>
      </c>
      <c r="M5" s="87">
        <f t="shared" si="1"/>
        <v>22.197745932139817</v>
      </c>
      <c r="N5" s="106">
        <v>1819330.5862600694</v>
      </c>
      <c r="O5" s="111">
        <v>290.45</v>
      </c>
      <c r="P5" s="111">
        <v>285.58</v>
      </c>
      <c r="Q5" s="111">
        <v>279.63</v>
      </c>
    </row>
    <row r="6" spans="1:75" s="58" customFormat="1" ht="15" customHeight="1" x14ac:dyDescent="0.35">
      <c r="A6" s="54">
        <v>11001</v>
      </c>
      <c r="B6" s="55" t="s">
        <v>14</v>
      </c>
      <c r="C6" s="56">
        <v>0.3</v>
      </c>
      <c r="D6" s="56">
        <v>0.3</v>
      </c>
      <c r="E6" s="57">
        <v>167640008</v>
      </c>
      <c r="F6" s="57">
        <v>191079636</v>
      </c>
      <c r="G6" s="57">
        <f t="shared" si="2"/>
        <v>53807.946599999996</v>
      </c>
      <c r="H6" s="57">
        <v>1862558</v>
      </c>
      <c r="I6" s="58">
        <v>16</v>
      </c>
      <c r="J6" s="58">
        <v>300</v>
      </c>
      <c r="K6" s="93" t="s">
        <v>0</v>
      </c>
      <c r="L6" s="84">
        <f t="shared" si="0"/>
        <v>12.75</v>
      </c>
      <c r="M6" s="87">
        <f t="shared" si="1"/>
        <v>23.529411764705884</v>
      </c>
      <c r="N6" s="106">
        <v>1954187.1058823529</v>
      </c>
      <c r="O6" s="111">
        <v>333</v>
      </c>
      <c r="P6" s="111">
        <v>346</v>
      </c>
      <c r="Q6" s="111">
        <v>300</v>
      </c>
    </row>
    <row r="7" spans="1:75" s="58" customFormat="1" ht="15" customHeight="1" x14ac:dyDescent="0.35">
      <c r="A7" s="54">
        <v>38001</v>
      </c>
      <c r="B7" s="55" t="s">
        <v>81</v>
      </c>
      <c r="C7" s="56">
        <v>0.29799999999999999</v>
      </c>
      <c r="D7" s="56">
        <v>0.3</v>
      </c>
      <c r="E7" s="57">
        <v>284029098</v>
      </c>
      <c r="F7" s="57">
        <v>326344403</v>
      </c>
      <c r="G7" s="57">
        <f t="shared" si="2"/>
        <v>91271.996051999988</v>
      </c>
      <c r="H7" s="57">
        <v>1576374</v>
      </c>
      <c r="I7" s="58">
        <v>1</v>
      </c>
      <c r="J7" s="58">
        <v>266</v>
      </c>
      <c r="K7" s="93" t="s">
        <v>0</v>
      </c>
      <c r="L7" s="84">
        <f t="shared" si="0"/>
        <v>12.494999999999999</v>
      </c>
      <c r="M7" s="87">
        <f t="shared" si="1"/>
        <v>21.288515406162468</v>
      </c>
      <c r="N7" s="106">
        <v>1746449.7749099643</v>
      </c>
      <c r="O7" s="111">
        <v>281.99</v>
      </c>
      <c r="P7" s="111">
        <v>286</v>
      </c>
      <c r="Q7" s="111">
        <v>266</v>
      </c>
    </row>
    <row r="8" spans="1:75" s="58" customFormat="1" ht="15" customHeight="1" x14ac:dyDescent="0.35">
      <c r="A8" s="54">
        <v>21001</v>
      </c>
      <c r="B8" s="55" t="s">
        <v>50</v>
      </c>
      <c r="C8" s="56">
        <v>0.26100000000000001</v>
      </c>
      <c r="D8" s="56">
        <v>0.3</v>
      </c>
      <c r="E8" s="57">
        <v>139132667</v>
      </c>
      <c r="F8" s="57">
        <v>164539673</v>
      </c>
      <c r="G8" s="57">
        <f t="shared" si="2"/>
        <v>42837.763993500004</v>
      </c>
      <c r="H8" s="57">
        <v>973131</v>
      </c>
      <c r="I8" s="58">
        <v>0</v>
      </c>
      <c r="J8" s="58">
        <v>170</v>
      </c>
      <c r="K8" s="93" t="s">
        <v>0</v>
      </c>
      <c r="L8" s="84">
        <f t="shared" si="0"/>
        <v>12</v>
      </c>
      <c r="M8" s="87">
        <f t="shared" si="1"/>
        <v>14.166666666666666</v>
      </c>
      <c r="N8" s="106">
        <v>1161102.125</v>
      </c>
      <c r="O8" s="111">
        <v>166</v>
      </c>
      <c r="P8" s="111">
        <v>173</v>
      </c>
      <c r="Q8" s="111">
        <v>170</v>
      </c>
    </row>
    <row r="9" spans="1:75" s="58" customFormat="1" ht="15" customHeight="1" x14ac:dyDescent="0.35">
      <c r="A9" s="54">
        <v>4001</v>
      </c>
      <c r="B9" s="55" t="s">
        <v>63</v>
      </c>
      <c r="C9" s="56">
        <v>0.26100000000000001</v>
      </c>
      <c r="D9" s="56">
        <v>0.3</v>
      </c>
      <c r="E9" s="57">
        <v>158174892</v>
      </c>
      <c r="F9" s="57">
        <v>179170409</v>
      </c>
      <c r="G9" s="57">
        <f t="shared" si="2"/>
        <v>47517.384755999999</v>
      </c>
      <c r="H9" s="57">
        <v>1435046</v>
      </c>
      <c r="I9" s="58">
        <v>0</v>
      </c>
      <c r="J9" s="58">
        <v>238</v>
      </c>
      <c r="K9" s="93" t="s">
        <v>0</v>
      </c>
      <c r="L9" s="84">
        <f t="shared" si="0"/>
        <v>12.285</v>
      </c>
      <c r="M9" s="87">
        <f t="shared" si="1"/>
        <v>19.373219373219374</v>
      </c>
      <c r="N9" s="106">
        <v>1587831.965811966</v>
      </c>
      <c r="O9" s="111">
        <v>261</v>
      </c>
      <c r="P9" s="111">
        <v>251</v>
      </c>
      <c r="Q9" s="111">
        <v>238</v>
      </c>
    </row>
    <row r="10" spans="1:75" s="58" customFormat="1" ht="15" customHeight="1" x14ac:dyDescent="0.35">
      <c r="A10" s="54">
        <v>49001</v>
      </c>
      <c r="B10" s="55" t="s">
        <v>33</v>
      </c>
      <c r="C10" s="56">
        <v>0.3</v>
      </c>
      <c r="D10" s="56">
        <v>0.3</v>
      </c>
      <c r="E10" s="57">
        <v>168379107</v>
      </c>
      <c r="F10" s="57">
        <v>179333955</v>
      </c>
      <c r="G10" s="57">
        <f t="shared" si="2"/>
        <v>52156.959299999995</v>
      </c>
      <c r="H10" s="57">
        <v>2450530</v>
      </c>
      <c r="I10" s="58">
        <v>0</v>
      </c>
      <c r="J10" s="58">
        <v>477</v>
      </c>
      <c r="K10" s="93" t="s">
        <v>0</v>
      </c>
      <c r="L10" s="84">
        <f t="shared" si="0"/>
        <v>14.077500000000001</v>
      </c>
      <c r="M10" s="87">
        <f t="shared" si="1"/>
        <v>33.883857218966433</v>
      </c>
      <c r="N10" s="106">
        <v>2777126.020245072</v>
      </c>
      <c r="O10" s="111">
        <v>422.51</v>
      </c>
      <c r="P10" s="111">
        <v>459.89</v>
      </c>
      <c r="Q10" s="111">
        <v>477</v>
      </c>
    </row>
    <row r="11" spans="1:75" s="58" customFormat="1" ht="15" customHeight="1" x14ac:dyDescent="0.35">
      <c r="A11" s="54">
        <v>9001</v>
      </c>
      <c r="B11" s="55" t="s">
        <v>114</v>
      </c>
      <c r="C11" s="56">
        <v>0.3</v>
      </c>
      <c r="D11" s="56">
        <v>0.3</v>
      </c>
      <c r="E11" s="57">
        <v>394130740</v>
      </c>
      <c r="F11" s="57">
        <v>487070865</v>
      </c>
      <c r="G11" s="57">
        <f t="shared" si="2"/>
        <v>132180.24075</v>
      </c>
      <c r="H11" s="57">
        <v>6734903</v>
      </c>
      <c r="I11" s="58">
        <v>5</v>
      </c>
      <c r="J11" s="58">
        <v>1369</v>
      </c>
      <c r="K11" s="93" t="s">
        <v>0</v>
      </c>
      <c r="L11" s="84">
        <f t="shared" si="0"/>
        <v>15</v>
      </c>
      <c r="M11" s="87">
        <f t="shared" si="1"/>
        <v>91.266666666666666</v>
      </c>
      <c r="N11" s="106">
        <v>7487059.7024999997</v>
      </c>
      <c r="O11" s="111">
        <v>1404.03</v>
      </c>
      <c r="P11" s="111">
        <v>1355.51</v>
      </c>
      <c r="Q11" s="111">
        <v>1369</v>
      </c>
    </row>
    <row r="12" spans="1:75" s="58" customFormat="1" ht="15" customHeight="1" x14ac:dyDescent="0.35">
      <c r="A12" s="54">
        <v>3001</v>
      </c>
      <c r="B12" s="55" t="s">
        <v>15</v>
      </c>
      <c r="C12" s="56">
        <v>0.3</v>
      </c>
      <c r="D12" s="56">
        <v>0.3</v>
      </c>
      <c r="E12" s="57">
        <v>168080985</v>
      </c>
      <c r="F12" s="57">
        <v>195437127</v>
      </c>
      <c r="G12" s="57">
        <f t="shared" si="2"/>
        <v>54527.716799999995</v>
      </c>
      <c r="H12" s="57">
        <v>2494846</v>
      </c>
      <c r="I12" s="58">
        <v>1</v>
      </c>
      <c r="J12" s="58">
        <v>470</v>
      </c>
      <c r="K12" s="93" t="s">
        <v>0</v>
      </c>
      <c r="L12" s="84">
        <f t="shared" si="0"/>
        <v>14.025</v>
      </c>
      <c r="M12" s="87">
        <f t="shared" si="1"/>
        <v>33.51158645276292</v>
      </c>
      <c r="N12" s="106">
        <v>2748075.6176470583</v>
      </c>
      <c r="O12" s="111">
        <v>493</v>
      </c>
      <c r="P12" s="111">
        <v>482</v>
      </c>
      <c r="Q12" s="111">
        <v>470</v>
      </c>
    </row>
    <row r="13" spans="1:75" s="60" customFormat="1" ht="15" customHeight="1" x14ac:dyDescent="0.35">
      <c r="A13" s="54">
        <v>61002</v>
      </c>
      <c r="B13" s="55" t="s">
        <v>141</v>
      </c>
      <c r="C13" s="56">
        <v>0.3</v>
      </c>
      <c r="D13" s="56">
        <v>0.3</v>
      </c>
      <c r="E13" s="57">
        <v>405526869</v>
      </c>
      <c r="F13" s="57">
        <v>445760437</v>
      </c>
      <c r="G13" s="57">
        <f t="shared" si="2"/>
        <v>127693.09589999999</v>
      </c>
      <c r="H13" s="57">
        <v>3257676</v>
      </c>
      <c r="I13" s="58">
        <v>0</v>
      </c>
      <c r="J13" s="58">
        <v>668</v>
      </c>
      <c r="K13" s="93" t="s">
        <v>0</v>
      </c>
      <c r="L13" s="84">
        <f t="shared" si="0"/>
        <v>15</v>
      </c>
      <c r="M13" s="87">
        <f t="shared" si="1"/>
        <v>44.533333333333331</v>
      </c>
      <c r="N13" s="106">
        <v>3649958.68</v>
      </c>
      <c r="O13" s="111">
        <v>650.84</v>
      </c>
      <c r="P13" s="111">
        <v>652</v>
      </c>
      <c r="Q13" s="111">
        <v>668</v>
      </c>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row>
    <row r="14" spans="1:75" s="58" customFormat="1" ht="15" customHeight="1" x14ac:dyDescent="0.35">
      <c r="A14" s="54">
        <v>25001</v>
      </c>
      <c r="B14" s="55" t="s">
        <v>24</v>
      </c>
      <c r="C14" s="56">
        <v>0.3</v>
      </c>
      <c r="D14" s="56">
        <v>0.3</v>
      </c>
      <c r="E14" s="57">
        <v>66117761</v>
      </c>
      <c r="F14" s="57">
        <v>66799331</v>
      </c>
      <c r="G14" s="57">
        <f t="shared" si="2"/>
        <v>19937.5638</v>
      </c>
      <c r="H14" s="57">
        <v>575865</v>
      </c>
      <c r="I14" s="58">
        <v>0</v>
      </c>
      <c r="J14" s="58">
        <v>91</v>
      </c>
      <c r="K14" s="93" t="s">
        <v>0</v>
      </c>
      <c r="L14" s="84">
        <f t="shared" si="0"/>
        <v>12</v>
      </c>
      <c r="M14" s="87">
        <f t="shared" si="1"/>
        <v>7.583333333333333</v>
      </c>
      <c r="N14" s="106">
        <v>621531.13749999995</v>
      </c>
      <c r="O14" s="111">
        <v>106.2</v>
      </c>
      <c r="P14" s="111">
        <v>95</v>
      </c>
      <c r="Q14" s="111">
        <v>91</v>
      </c>
    </row>
    <row r="15" spans="1:75" s="58" customFormat="1" ht="15" customHeight="1" x14ac:dyDescent="0.35">
      <c r="A15" s="54">
        <v>52001</v>
      </c>
      <c r="B15" s="55" t="s">
        <v>96</v>
      </c>
      <c r="C15" s="56">
        <v>0.23799999999999999</v>
      </c>
      <c r="D15" s="56">
        <v>0.18</v>
      </c>
      <c r="E15" s="57">
        <v>210351186</v>
      </c>
      <c r="F15" s="57">
        <v>251340850</v>
      </c>
      <c r="G15" s="57">
        <f t="shared" si="2"/>
        <v>47652.467634000001</v>
      </c>
      <c r="H15" s="57">
        <v>847196</v>
      </c>
      <c r="I15" s="58">
        <v>0</v>
      </c>
      <c r="J15" s="58">
        <v>148</v>
      </c>
      <c r="K15" s="93" t="s">
        <v>0</v>
      </c>
      <c r="L15" s="84">
        <f t="shared" si="0"/>
        <v>12</v>
      </c>
      <c r="M15" s="87">
        <f t="shared" si="1"/>
        <v>12.333333333333334</v>
      </c>
      <c r="N15" s="106">
        <v>1010841.85</v>
      </c>
      <c r="O15" s="111">
        <v>143</v>
      </c>
      <c r="P15" s="111">
        <v>148</v>
      </c>
      <c r="Q15" s="111">
        <v>148</v>
      </c>
    </row>
    <row r="16" spans="1:75" s="58" customFormat="1" ht="15" customHeight="1" x14ac:dyDescent="0.35">
      <c r="A16" s="54">
        <v>4002</v>
      </c>
      <c r="B16" s="55" t="s">
        <v>65</v>
      </c>
      <c r="C16" s="56">
        <v>0.26800000000000002</v>
      </c>
      <c r="D16" s="56">
        <v>0.3</v>
      </c>
      <c r="E16" s="57">
        <v>332730159</v>
      </c>
      <c r="F16" s="57">
        <v>374916028</v>
      </c>
      <c r="G16" s="57">
        <f t="shared" si="2"/>
        <v>100823.24550599999</v>
      </c>
      <c r="H16" s="57">
        <v>2652154</v>
      </c>
      <c r="I16" s="58">
        <v>11</v>
      </c>
      <c r="J16" s="58">
        <v>485.51</v>
      </c>
      <c r="K16" s="93" t="s">
        <v>0</v>
      </c>
      <c r="L16" s="84">
        <f t="shared" si="0"/>
        <v>14.141325</v>
      </c>
      <c r="M16" s="87">
        <f t="shared" si="1"/>
        <v>34.332709275828115</v>
      </c>
      <c r="N16" s="106">
        <v>2829852.4246490342</v>
      </c>
      <c r="O16" s="111">
        <v>524.42999999999995</v>
      </c>
      <c r="P16" s="111">
        <v>523.02</v>
      </c>
      <c r="Q16" s="111">
        <v>485.51</v>
      </c>
    </row>
    <row r="17" spans="1:17" s="58" customFormat="1" ht="15" customHeight="1" x14ac:dyDescent="0.35">
      <c r="A17" s="54">
        <v>22001</v>
      </c>
      <c r="B17" s="55" t="s">
        <v>34</v>
      </c>
      <c r="C17" s="56">
        <v>0.23400000000000001</v>
      </c>
      <c r="D17" s="56">
        <v>0.3</v>
      </c>
      <c r="E17" s="57">
        <v>169962639</v>
      </c>
      <c r="F17" s="57">
        <v>207119682</v>
      </c>
      <c r="G17" s="57">
        <f t="shared" si="2"/>
        <v>50953.581062999991</v>
      </c>
      <c r="H17" s="57">
        <v>713248</v>
      </c>
      <c r="I17" s="58">
        <v>0</v>
      </c>
      <c r="J17" s="58">
        <v>122.2</v>
      </c>
      <c r="K17" s="93" t="s">
        <v>0</v>
      </c>
      <c r="L17" s="84">
        <f t="shared" si="0"/>
        <v>12</v>
      </c>
      <c r="M17" s="87">
        <f t="shared" si="1"/>
        <v>10.183333333333334</v>
      </c>
      <c r="N17" s="106">
        <v>834627.52749999997</v>
      </c>
      <c r="O17" s="111">
        <v>128.19999999999999</v>
      </c>
      <c r="P17" s="111">
        <v>121</v>
      </c>
      <c r="Q17" s="111">
        <v>122.2</v>
      </c>
    </row>
    <row r="18" spans="1:17" s="58" customFormat="1" ht="15" customHeight="1" x14ac:dyDescent="0.35">
      <c r="A18" s="54">
        <v>49002</v>
      </c>
      <c r="B18" s="55" t="s">
        <v>118</v>
      </c>
      <c r="C18" s="56">
        <v>0.3</v>
      </c>
      <c r="D18" s="56">
        <v>0.3</v>
      </c>
      <c r="E18" s="57">
        <v>1430315913</v>
      </c>
      <c r="F18" s="57">
        <v>1551837758</v>
      </c>
      <c r="G18" s="57">
        <f t="shared" si="2"/>
        <v>447323.05064999999</v>
      </c>
      <c r="H18" s="57">
        <v>18448003</v>
      </c>
      <c r="I18" s="58">
        <v>19</v>
      </c>
      <c r="J18" s="58">
        <v>3778.09</v>
      </c>
      <c r="K18" s="93" t="s">
        <v>0</v>
      </c>
      <c r="L18" s="84">
        <f t="shared" si="0"/>
        <v>15</v>
      </c>
      <c r="M18" s="87">
        <f t="shared" si="1"/>
        <v>251.87266666666667</v>
      </c>
      <c r="N18" s="106">
        <v>20669475.588399999</v>
      </c>
      <c r="O18" s="111">
        <v>3584.99</v>
      </c>
      <c r="P18" s="111">
        <v>3639.46</v>
      </c>
      <c r="Q18" s="111">
        <v>3778.09</v>
      </c>
    </row>
    <row r="19" spans="1:17" s="58" customFormat="1" ht="15" customHeight="1" x14ac:dyDescent="0.35">
      <c r="A19" s="54">
        <v>30003</v>
      </c>
      <c r="B19" s="55" t="s">
        <v>151</v>
      </c>
      <c r="C19" s="56">
        <v>0.26</v>
      </c>
      <c r="D19" s="56">
        <v>0.3</v>
      </c>
      <c r="E19" s="57">
        <v>295531916</v>
      </c>
      <c r="F19" s="57">
        <v>333330315</v>
      </c>
      <c r="G19" s="57">
        <f t="shared" si="2"/>
        <v>88418.696329999992</v>
      </c>
      <c r="H19" s="57">
        <v>1804562</v>
      </c>
      <c r="I19" s="58">
        <v>1</v>
      </c>
      <c r="J19" s="58">
        <v>322</v>
      </c>
      <c r="K19" s="93" t="s">
        <v>0</v>
      </c>
      <c r="L19" s="84">
        <f t="shared" si="0"/>
        <v>12.914999999999999</v>
      </c>
      <c r="M19" s="87">
        <f t="shared" si="1"/>
        <v>24.932249322493227</v>
      </c>
      <c r="N19" s="106">
        <v>2045037.4245063879</v>
      </c>
      <c r="O19" s="111">
        <v>332.6</v>
      </c>
      <c r="P19" s="111">
        <v>329.6</v>
      </c>
      <c r="Q19" s="111">
        <v>322</v>
      </c>
    </row>
    <row r="20" spans="1:17" s="58" customFormat="1" ht="15" customHeight="1" x14ac:dyDescent="0.35">
      <c r="A20" s="61">
        <v>45004</v>
      </c>
      <c r="B20" s="58" t="s">
        <v>84</v>
      </c>
      <c r="C20" s="56">
        <v>0.26500000000000001</v>
      </c>
      <c r="D20" s="56">
        <v>0.3</v>
      </c>
      <c r="E20" s="57">
        <v>572295531</v>
      </c>
      <c r="F20" s="57">
        <v>665299549</v>
      </c>
      <c r="G20" s="57">
        <f t="shared" si="2"/>
        <v>175624.09020749998</v>
      </c>
      <c r="H20" s="57">
        <v>2372854</v>
      </c>
      <c r="I20" s="58">
        <v>9</v>
      </c>
      <c r="J20" s="58">
        <v>432.12</v>
      </c>
      <c r="K20" s="93" t="s">
        <v>0</v>
      </c>
      <c r="L20" s="84">
        <f t="shared" si="0"/>
        <v>13.7409</v>
      </c>
      <c r="M20" s="87">
        <f t="shared" si="1"/>
        <v>31.447721764949893</v>
      </c>
      <c r="N20" s="106">
        <v>2590880.5358819291</v>
      </c>
      <c r="O20" s="111">
        <v>460.5</v>
      </c>
      <c r="P20" s="111">
        <v>450.99</v>
      </c>
      <c r="Q20" s="111">
        <v>432.12</v>
      </c>
    </row>
    <row r="21" spans="1:17" s="58" customFormat="1" ht="15" customHeight="1" x14ac:dyDescent="0.35">
      <c r="A21" s="62">
        <v>5001</v>
      </c>
      <c r="B21" s="63" t="s">
        <v>122</v>
      </c>
      <c r="C21" s="56">
        <v>0.3</v>
      </c>
      <c r="D21" s="56">
        <v>0.3</v>
      </c>
      <c r="E21" s="57">
        <v>1431849334</v>
      </c>
      <c r="F21" s="57">
        <v>1520425297</v>
      </c>
      <c r="G21" s="57">
        <f t="shared" si="2"/>
        <v>442841.19464999996</v>
      </c>
      <c r="H21" s="57">
        <v>16422051</v>
      </c>
      <c r="I21" s="58">
        <v>52</v>
      </c>
      <c r="J21" s="58">
        <v>3354.41</v>
      </c>
      <c r="K21" s="93" t="s">
        <v>0</v>
      </c>
      <c r="L21" s="84">
        <f t="shared" si="0"/>
        <v>15</v>
      </c>
      <c r="M21" s="87">
        <f t="shared" si="1"/>
        <v>223.62733333333333</v>
      </c>
      <c r="N21" s="106">
        <v>18399561.914099999</v>
      </c>
      <c r="O21" s="111">
        <v>3184.6</v>
      </c>
      <c r="P21" s="111">
        <v>3277.5</v>
      </c>
      <c r="Q21" s="111">
        <v>3354.41</v>
      </c>
    </row>
    <row r="22" spans="1:17" s="58" customFormat="1" ht="15" customHeight="1" x14ac:dyDescent="0.35">
      <c r="A22" s="54">
        <v>26002</v>
      </c>
      <c r="B22" s="55" t="s">
        <v>36</v>
      </c>
      <c r="C22" s="56">
        <v>0.3</v>
      </c>
      <c r="D22" s="56">
        <v>0.3</v>
      </c>
      <c r="E22" s="57">
        <v>142643925</v>
      </c>
      <c r="F22" s="57">
        <v>157088374</v>
      </c>
      <c r="G22" s="57">
        <f t="shared" si="2"/>
        <v>44959.844849999994</v>
      </c>
      <c r="H22" s="57">
        <v>1244806</v>
      </c>
      <c r="I22" s="58">
        <v>0</v>
      </c>
      <c r="J22" s="58">
        <v>219</v>
      </c>
      <c r="K22" s="93" t="s">
        <v>0</v>
      </c>
      <c r="L22" s="84">
        <f t="shared" si="0"/>
        <v>12.1425</v>
      </c>
      <c r="M22" s="87">
        <f t="shared" si="1"/>
        <v>18.035824583075971</v>
      </c>
      <c r="N22" s="106">
        <v>1478218.8882025941</v>
      </c>
      <c r="O22" s="111">
        <v>200</v>
      </c>
      <c r="P22" s="111">
        <v>221</v>
      </c>
      <c r="Q22" s="111">
        <v>219</v>
      </c>
    </row>
    <row r="23" spans="1:17" s="58" customFormat="1" ht="15" customHeight="1" x14ac:dyDescent="0.35">
      <c r="A23" s="54">
        <v>43001</v>
      </c>
      <c r="B23" s="55" t="s">
        <v>77</v>
      </c>
      <c r="C23" s="56">
        <v>0.27200000000000002</v>
      </c>
      <c r="D23" s="56">
        <v>0.3</v>
      </c>
      <c r="E23" s="57">
        <v>157945495</v>
      </c>
      <c r="F23" s="57">
        <v>172812660</v>
      </c>
      <c r="G23" s="57">
        <f t="shared" si="2"/>
        <v>47402.486320000004</v>
      </c>
      <c r="H23" s="57">
        <v>1229598</v>
      </c>
      <c r="I23" s="58">
        <v>0</v>
      </c>
      <c r="J23" s="58">
        <v>216.09</v>
      </c>
      <c r="K23" s="93" t="s">
        <v>0</v>
      </c>
      <c r="L23" s="84">
        <f t="shared" si="0"/>
        <v>12.120675</v>
      </c>
      <c r="M23" s="87">
        <f t="shared" si="1"/>
        <v>17.828215012777754</v>
      </c>
      <c r="N23" s="106">
        <v>1461203.1766795167</v>
      </c>
      <c r="O23" s="111">
        <v>217</v>
      </c>
      <c r="P23" s="111">
        <v>211.29</v>
      </c>
      <c r="Q23" s="111">
        <v>216.09</v>
      </c>
    </row>
    <row r="24" spans="1:17" s="58" customFormat="1" ht="15" customHeight="1" x14ac:dyDescent="0.35">
      <c r="A24" s="54">
        <v>41001</v>
      </c>
      <c r="B24" s="55" t="s">
        <v>56</v>
      </c>
      <c r="C24" s="56">
        <v>0.3</v>
      </c>
      <c r="D24" s="56">
        <v>0.3</v>
      </c>
      <c r="E24" s="57">
        <v>491309045</v>
      </c>
      <c r="F24" s="57">
        <v>540369010</v>
      </c>
      <c r="G24" s="57">
        <f t="shared" si="2"/>
        <v>154751.70825</v>
      </c>
      <c r="H24" s="73">
        <f>4318761-5267</f>
        <v>4313494</v>
      </c>
      <c r="I24" s="58">
        <v>2</v>
      </c>
      <c r="J24" s="58">
        <v>884</v>
      </c>
      <c r="K24" s="93" t="s">
        <v>0</v>
      </c>
      <c r="L24" s="84">
        <f t="shared" si="0"/>
        <v>15</v>
      </c>
      <c r="M24" s="87">
        <f t="shared" si="1"/>
        <v>58.93333333333333</v>
      </c>
      <c r="N24" s="106">
        <v>4832916.8449999988</v>
      </c>
      <c r="O24" s="111">
        <v>859.3</v>
      </c>
      <c r="P24" s="111">
        <v>901.7</v>
      </c>
      <c r="Q24" s="111">
        <v>884</v>
      </c>
    </row>
    <row r="25" spans="1:17" s="58" customFormat="1" ht="15" customHeight="1" x14ac:dyDescent="0.35">
      <c r="A25" s="54">
        <v>28001</v>
      </c>
      <c r="B25" s="55" t="s">
        <v>41</v>
      </c>
      <c r="C25" s="56">
        <v>0.254</v>
      </c>
      <c r="D25" s="56">
        <v>0.3</v>
      </c>
      <c r="E25" s="57">
        <v>194679376</v>
      </c>
      <c r="F25" s="57">
        <v>220456935</v>
      </c>
      <c r="G25" s="57">
        <f t="shared" si="2"/>
        <v>57792.821002000004</v>
      </c>
      <c r="H25" s="57">
        <v>1457787</v>
      </c>
      <c r="I25" s="58">
        <v>0</v>
      </c>
      <c r="J25" s="58">
        <v>254</v>
      </c>
      <c r="K25" s="93" t="s">
        <v>0</v>
      </c>
      <c r="L25" s="84">
        <f t="shared" si="0"/>
        <v>12.404999999999999</v>
      </c>
      <c r="M25" s="87">
        <f t="shared" si="1"/>
        <v>20.475614671503426</v>
      </c>
      <c r="N25" s="106">
        <v>1678184.4498186216</v>
      </c>
      <c r="O25" s="111">
        <v>260</v>
      </c>
      <c r="P25" s="111">
        <v>261</v>
      </c>
      <c r="Q25" s="111">
        <v>254</v>
      </c>
    </row>
    <row r="26" spans="1:17" s="58" customFormat="1" ht="15" customHeight="1" x14ac:dyDescent="0.35">
      <c r="A26" s="54">
        <v>60001</v>
      </c>
      <c r="B26" s="55" t="s">
        <v>43</v>
      </c>
      <c r="C26" s="56">
        <v>0.27200000000000002</v>
      </c>
      <c r="D26" s="56">
        <v>0.3</v>
      </c>
      <c r="E26" s="57">
        <v>212639738</v>
      </c>
      <c r="F26" s="57">
        <v>237036242</v>
      </c>
      <c r="G26" s="57">
        <f t="shared" si="2"/>
        <v>64474.440667999996</v>
      </c>
      <c r="H26" s="57">
        <v>1287105</v>
      </c>
      <c r="I26" s="58">
        <v>0</v>
      </c>
      <c r="J26" s="58">
        <v>227.13</v>
      </c>
      <c r="K26" s="93" t="s">
        <v>0</v>
      </c>
      <c r="L26" s="84">
        <f t="shared" si="0"/>
        <v>12.203474999999999</v>
      </c>
      <c r="M26" s="87">
        <f t="shared" si="1"/>
        <v>18.611911771032432</v>
      </c>
      <c r="N26" s="106">
        <v>1525435.0805405839</v>
      </c>
      <c r="O26" s="111">
        <v>222</v>
      </c>
      <c r="P26" s="111">
        <v>228.13</v>
      </c>
      <c r="Q26" s="111">
        <v>227.13</v>
      </c>
    </row>
    <row r="27" spans="1:17" s="58" customFormat="1" ht="15" customHeight="1" x14ac:dyDescent="0.35">
      <c r="A27" s="54">
        <v>7001</v>
      </c>
      <c r="B27" s="55" t="s">
        <v>53</v>
      </c>
      <c r="C27" s="56">
        <v>0.26900000000000002</v>
      </c>
      <c r="D27" s="56">
        <v>0.3</v>
      </c>
      <c r="E27" s="57">
        <v>478425122</v>
      </c>
      <c r="F27" s="57">
        <v>568988711</v>
      </c>
      <c r="G27" s="57">
        <f t="shared" si="2"/>
        <v>149696.48555899999</v>
      </c>
      <c r="H27" s="57">
        <v>4401325</v>
      </c>
      <c r="I27" s="58">
        <v>0</v>
      </c>
      <c r="J27" s="58">
        <v>902.51</v>
      </c>
      <c r="K27" s="93" t="s">
        <v>0</v>
      </c>
      <c r="L27" s="84">
        <f t="shared" si="0"/>
        <v>15</v>
      </c>
      <c r="M27" s="87">
        <f t="shared" si="1"/>
        <v>60.167333333333332</v>
      </c>
      <c r="N27" s="106">
        <v>4931323.6650999999</v>
      </c>
      <c r="O27" s="111">
        <v>911</v>
      </c>
      <c r="P27" s="111">
        <v>879.21</v>
      </c>
      <c r="Q27" s="111">
        <v>902.51</v>
      </c>
    </row>
    <row r="28" spans="1:17" s="58" customFormat="1" ht="15" customHeight="1" x14ac:dyDescent="0.35">
      <c r="A28" s="54">
        <v>39001</v>
      </c>
      <c r="B28" s="55" t="s">
        <v>49</v>
      </c>
      <c r="C28" s="56">
        <v>0.3</v>
      </c>
      <c r="D28" s="56">
        <v>0.3</v>
      </c>
      <c r="E28" s="57">
        <v>275392459</v>
      </c>
      <c r="F28" s="57">
        <v>301169200</v>
      </c>
      <c r="G28" s="57">
        <f t="shared" si="2"/>
        <v>86484.248849999989</v>
      </c>
      <c r="H28" s="57">
        <v>2894799</v>
      </c>
      <c r="I28" s="58">
        <v>11</v>
      </c>
      <c r="J28" s="58">
        <v>587</v>
      </c>
      <c r="K28" s="93" t="s">
        <v>0</v>
      </c>
      <c r="L28" s="84">
        <f t="shared" si="0"/>
        <v>14.9025</v>
      </c>
      <c r="M28" s="87">
        <f t="shared" si="1"/>
        <v>39.38936420063748</v>
      </c>
      <c r="N28" s="106">
        <v>3243482.5339708105</v>
      </c>
      <c r="O28" s="111">
        <v>564.4</v>
      </c>
      <c r="P28" s="111">
        <v>611</v>
      </c>
      <c r="Q28" s="111">
        <v>587</v>
      </c>
    </row>
    <row r="29" spans="1:17" s="58" customFormat="1" ht="15" customHeight="1" x14ac:dyDescent="0.35">
      <c r="A29" s="54">
        <v>12002</v>
      </c>
      <c r="B29" s="55" t="s">
        <v>60</v>
      </c>
      <c r="C29" s="56">
        <v>0.188</v>
      </c>
      <c r="D29" s="56">
        <v>0.3</v>
      </c>
      <c r="E29" s="57">
        <v>531699712</v>
      </c>
      <c r="F29" s="57">
        <v>615364644</v>
      </c>
      <c r="G29" s="57">
        <f t="shared" si="2"/>
        <v>142284.46952799999</v>
      </c>
      <c r="H29" s="57">
        <v>2030897</v>
      </c>
      <c r="I29" s="58">
        <v>36</v>
      </c>
      <c r="J29" s="58">
        <v>369</v>
      </c>
      <c r="K29" s="93" t="s">
        <v>0</v>
      </c>
      <c r="L29" s="84">
        <f t="shared" si="0"/>
        <v>13.2675</v>
      </c>
      <c r="M29" s="87">
        <f t="shared" si="1"/>
        <v>27.81232334652346</v>
      </c>
      <c r="N29" s="106">
        <v>2335099.8078010175</v>
      </c>
      <c r="O29" s="111">
        <v>372</v>
      </c>
      <c r="P29" s="111">
        <v>369</v>
      </c>
      <c r="Q29" s="111">
        <v>369</v>
      </c>
    </row>
    <row r="30" spans="1:17" s="58" customFormat="1" ht="15" customHeight="1" x14ac:dyDescent="0.35">
      <c r="A30" s="54">
        <v>50005</v>
      </c>
      <c r="B30" s="55" t="s">
        <v>78</v>
      </c>
      <c r="C30" s="56">
        <v>0.27300000000000002</v>
      </c>
      <c r="D30" s="56">
        <v>0.3</v>
      </c>
      <c r="E30" s="57">
        <v>208207468</v>
      </c>
      <c r="F30" s="57">
        <v>230646651</v>
      </c>
      <c r="G30" s="57">
        <f t="shared" si="2"/>
        <v>63017.317032000006</v>
      </c>
      <c r="H30" s="57">
        <v>1450216</v>
      </c>
      <c r="I30" s="58">
        <v>0</v>
      </c>
      <c r="J30" s="58">
        <v>259</v>
      </c>
      <c r="K30" s="93" t="s">
        <v>0</v>
      </c>
      <c r="L30" s="84">
        <f t="shared" si="0"/>
        <v>12.442499999999999</v>
      </c>
      <c r="M30" s="87">
        <f t="shared" si="1"/>
        <v>20.815752461322084</v>
      </c>
      <c r="N30" s="106">
        <v>1706062.1940928274</v>
      </c>
      <c r="O30" s="111">
        <v>243</v>
      </c>
      <c r="P30" s="111">
        <v>259</v>
      </c>
      <c r="Q30" s="111">
        <v>259</v>
      </c>
    </row>
    <row r="31" spans="1:17" s="58" customFormat="1" ht="15" customHeight="1" x14ac:dyDescent="0.35">
      <c r="A31" s="54">
        <v>59003</v>
      </c>
      <c r="B31" s="55" t="s">
        <v>87</v>
      </c>
      <c r="C31" s="56">
        <v>0.27500000000000002</v>
      </c>
      <c r="D31" s="56">
        <v>0.3</v>
      </c>
      <c r="E31" s="57">
        <v>234920523</v>
      </c>
      <c r="F31" s="57">
        <v>280749209</v>
      </c>
      <c r="G31" s="57">
        <f t="shared" si="2"/>
        <v>74413.953262499999</v>
      </c>
      <c r="H31" s="57">
        <v>1371425</v>
      </c>
      <c r="I31" s="58">
        <v>0</v>
      </c>
      <c r="J31" s="58">
        <v>234</v>
      </c>
      <c r="K31" s="93" t="s">
        <v>0</v>
      </c>
      <c r="L31" s="84">
        <f t="shared" si="0"/>
        <v>12.254999999999999</v>
      </c>
      <c r="M31" s="87">
        <f t="shared" si="1"/>
        <v>19.094247246022032</v>
      </c>
      <c r="N31" s="106">
        <v>1564967.3684210528</v>
      </c>
      <c r="O31" s="111">
        <v>248</v>
      </c>
      <c r="P31" s="111">
        <v>239</v>
      </c>
      <c r="Q31" s="111">
        <v>234</v>
      </c>
    </row>
    <row r="32" spans="1:17" s="58" customFormat="1" ht="15" customHeight="1" x14ac:dyDescent="0.35">
      <c r="A32" s="54"/>
      <c r="B32" s="55"/>
      <c r="C32" s="56">
        <v>0.2</v>
      </c>
      <c r="D32" s="56" t="s">
        <v>0</v>
      </c>
      <c r="E32" s="57">
        <v>194045396</v>
      </c>
      <c r="F32" s="57" t="s">
        <v>0</v>
      </c>
      <c r="G32" s="57">
        <f t="shared" si="2"/>
        <v>19404.5396</v>
      </c>
      <c r="H32" s="57"/>
      <c r="K32" s="93" t="s">
        <v>0</v>
      </c>
      <c r="L32" s="84">
        <f t="shared" si="0"/>
        <v>12</v>
      </c>
      <c r="M32" s="87">
        <f t="shared" si="1"/>
        <v>0</v>
      </c>
      <c r="N32" s="106"/>
      <c r="O32" s="111"/>
      <c r="P32" s="111"/>
      <c r="Q32" s="111"/>
    </row>
    <row r="33" spans="1:17" s="58" customFormat="1" ht="15" customHeight="1" x14ac:dyDescent="0.35">
      <c r="A33" s="54">
        <v>21003</v>
      </c>
      <c r="B33" s="55" t="s">
        <v>182</v>
      </c>
      <c r="C33" s="56"/>
      <c r="D33" s="56">
        <v>0.2</v>
      </c>
      <c r="E33" s="57" t="s">
        <v>0</v>
      </c>
      <c r="F33" s="57">
        <v>427713438</v>
      </c>
      <c r="G33" s="57">
        <f t="shared" si="2"/>
        <v>42771.343800000002</v>
      </c>
      <c r="H33" s="57">
        <v>1301970</v>
      </c>
      <c r="I33" s="58">
        <v>0</v>
      </c>
      <c r="J33" s="58">
        <v>230</v>
      </c>
      <c r="K33" s="93" t="s">
        <v>0</v>
      </c>
      <c r="L33" s="84">
        <f t="shared" si="0"/>
        <v>12.225</v>
      </c>
      <c r="M33" s="87">
        <f t="shared" si="1"/>
        <v>18.813905930470348</v>
      </c>
      <c r="N33" s="106">
        <v>1541990.5521472394</v>
      </c>
      <c r="O33" s="111">
        <v>0</v>
      </c>
      <c r="P33" s="111">
        <v>0</v>
      </c>
      <c r="Q33" s="111">
        <v>230</v>
      </c>
    </row>
    <row r="34" spans="1:17" s="58" customFormat="1" ht="15" customHeight="1" x14ac:dyDescent="0.35">
      <c r="A34" s="54">
        <v>16001</v>
      </c>
      <c r="B34" s="55" t="s">
        <v>147</v>
      </c>
      <c r="C34" s="56">
        <v>0.3</v>
      </c>
      <c r="D34" s="56">
        <v>0.3</v>
      </c>
      <c r="E34" s="57">
        <v>795945638</v>
      </c>
      <c r="F34" s="57">
        <v>860732998</v>
      </c>
      <c r="G34" s="57">
        <f t="shared" si="2"/>
        <v>248501.79539999997</v>
      </c>
      <c r="H34" s="57">
        <v>4259265</v>
      </c>
      <c r="I34" s="58">
        <v>0</v>
      </c>
      <c r="J34" s="58">
        <v>873.38</v>
      </c>
      <c r="K34" s="93" t="s">
        <v>0</v>
      </c>
      <c r="L34" s="84">
        <f t="shared" si="0"/>
        <v>15</v>
      </c>
      <c r="M34" s="87">
        <f t="shared" si="1"/>
        <v>58.225333333333332</v>
      </c>
      <c r="N34" s="106">
        <v>4772157.0537999999</v>
      </c>
      <c r="O34" s="111">
        <v>857.14</v>
      </c>
      <c r="P34" s="111">
        <v>863.73</v>
      </c>
      <c r="Q34" s="111">
        <v>873.38</v>
      </c>
    </row>
    <row r="35" spans="1:17" s="58" customFormat="1" ht="15" customHeight="1" x14ac:dyDescent="0.35">
      <c r="A35" s="59">
        <v>61008</v>
      </c>
      <c r="B35" s="55" t="s">
        <v>131</v>
      </c>
      <c r="C35" s="56">
        <v>0.3</v>
      </c>
      <c r="D35" s="56">
        <v>0.3</v>
      </c>
      <c r="E35" s="57">
        <v>697293816</v>
      </c>
      <c r="F35" s="57">
        <v>770562806</v>
      </c>
      <c r="G35" s="57">
        <f t="shared" si="2"/>
        <v>220178.49329999997</v>
      </c>
      <c r="H35" s="57">
        <v>6278731</v>
      </c>
      <c r="I35" s="58">
        <v>8</v>
      </c>
      <c r="J35" s="58">
        <v>1285.48</v>
      </c>
      <c r="K35" s="93" t="s">
        <v>0</v>
      </c>
      <c r="L35" s="84">
        <f t="shared" ref="L35:L66" si="3">IF(J35&lt;200,12,IF(J35&gt;600,15,(J35*0.0075)+10.5))</f>
        <v>15</v>
      </c>
      <c r="M35" s="87">
        <f t="shared" ref="M35:M66" si="4">J35/L35</f>
        <v>85.698666666666668</v>
      </c>
      <c r="N35" s="106">
        <v>7034803.5948000001</v>
      </c>
      <c r="O35" s="111">
        <v>1235.8399999999999</v>
      </c>
      <c r="P35" s="111">
        <v>1252.8800000000001</v>
      </c>
      <c r="Q35" s="111">
        <v>1285.48</v>
      </c>
    </row>
    <row r="36" spans="1:17" s="58" customFormat="1" ht="15" customHeight="1" x14ac:dyDescent="0.35">
      <c r="A36" s="54">
        <v>38002</v>
      </c>
      <c r="B36" s="55" t="s">
        <v>48</v>
      </c>
      <c r="C36" s="56">
        <v>0.255</v>
      </c>
      <c r="D36" s="56">
        <v>0.3</v>
      </c>
      <c r="E36" s="57">
        <v>321103348</v>
      </c>
      <c r="F36" s="57">
        <v>377978790</v>
      </c>
      <c r="G36" s="57">
        <f t="shared" si="2"/>
        <v>97637.495370000004</v>
      </c>
      <c r="H36" s="57">
        <v>1704698</v>
      </c>
      <c r="I36" s="58">
        <v>0</v>
      </c>
      <c r="J36" s="58">
        <v>286</v>
      </c>
      <c r="K36" s="93" t="s">
        <v>0</v>
      </c>
      <c r="L36" s="84">
        <f t="shared" si="3"/>
        <v>12.645</v>
      </c>
      <c r="M36" s="87">
        <f t="shared" si="4"/>
        <v>22.617635429023331</v>
      </c>
      <c r="N36" s="106">
        <v>1853744.7924080663</v>
      </c>
      <c r="O36" s="111">
        <v>314</v>
      </c>
      <c r="P36" s="111">
        <v>307</v>
      </c>
      <c r="Q36" s="111">
        <v>286</v>
      </c>
    </row>
    <row r="37" spans="1:17" s="58" customFormat="1" ht="15" customHeight="1" x14ac:dyDescent="0.35">
      <c r="A37" s="54">
        <v>49003</v>
      </c>
      <c r="B37" s="55" t="s">
        <v>133</v>
      </c>
      <c r="C37" s="56">
        <v>0.3</v>
      </c>
      <c r="D37" s="56">
        <v>0.3</v>
      </c>
      <c r="E37" s="57">
        <v>508820263</v>
      </c>
      <c r="F37" s="57">
        <v>558694039</v>
      </c>
      <c r="G37" s="57">
        <f t="shared" si="2"/>
        <v>160127.1453</v>
      </c>
      <c r="H37" s="57">
        <v>4469209</v>
      </c>
      <c r="I37" s="58">
        <v>1</v>
      </c>
      <c r="J37" s="58">
        <v>902.88</v>
      </c>
      <c r="K37" s="93" t="s">
        <v>0</v>
      </c>
      <c r="L37" s="84">
        <f t="shared" si="3"/>
        <v>15</v>
      </c>
      <c r="M37" s="87">
        <f t="shared" si="4"/>
        <v>60.192</v>
      </c>
      <c r="N37" s="106">
        <v>4934711.3513000002</v>
      </c>
      <c r="O37" s="111">
        <v>919.18</v>
      </c>
      <c r="P37" s="111">
        <v>913.18</v>
      </c>
      <c r="Q37" s="111">
        <v>902.88</v>
      </c>
    </row>
    <row r="38" spans="1:17" s="58" customFormat="1" ht="15" customHeight="1" x14ac:dyDescent="0.35">
      <c r="A38" s="54">
        <v>5006</v>
      </c>
      <c r="B38" s="55" t="s">
        <v>146</v>
      </c>
      <c r="C38" s="56">
        <v>0.3</v>
      </c>
      <c r="D38" s="56">
        <v>0.3</v>
      </c>
      <c r="E38" s="57">
        <v>348709194</v>
      </c>
      <c r="F38" s="57">
        <v>390935127</v>
      </c>
      <c r="G38" s="57">
        <f t="shared" si="2"/>
        <v>110946.64815000001</v>
      </c>
      <c r="H38" s="57">
        <v>1983149</v>
      </c>
      <c r="I38" s="58">
        <v>10</v>
      </c>
      <c r="J38" s="58">
        <v>367</v>
      </c>
      <c r="K38" s="93" t="s">
        <v>0</v>
      </c>
      <c r="L38" s="84">
        <f t="shared" si="3"/>
        <v>13.2525</v>
      </c>
      <c r="M38" s="87">
        <f t="shared" si="4"/>
        <v>27.692888134314281</v>
      </c>
      <c r="N38" s="106">
        <v>2285174.5274476516</v>
      </c>
      <c r="O38" s="111">
        <v>344</v>
      </c>
      <c r="P38" s="111">
        <v>368</v>
      </c>
      <c r="Q38" s="111">
        <v>367</v>
      </c>
    </row>
    <row r="39" spans="1:17" s="58" customFormat="1" ht="15" customHeight="1" x14ac:dyDescent="0.35">
      <c r="A39" s="54">
        <v>19004</v>
      </c>
      <c r="B39" s="55" t="s">
        <v>88</v>
      </c>
      <c r="C39" s="56">
        <v>0.27100000000000002</v>
      </c>
      <c r="D39" s="56">
        <v>0.3</v>
      </c>
      <c r="E39" s="57">
        <v>464768667</v>
      </c>
      <c r="F39" s="57">
        <v>525427655</v>
      </c>
      <c r="G39" s="57">
        <f t="shared" si="2"/>
        <v>141790.30262850001</v>
      </c>
      <c r="H39" s="57">
        <v>2571203</v>
      </c>
      <c r="I39" s="58">
        <v>8</v>
      </c>
      <c r="J39" s="58">
        <v>502.85</v>
      </c>
      <c r="K39" s="93" t="s">
        <v>0</v>
      </c>
      <c r="L39" s="84">
        <f t="shared" si="3"/>
        <v>14.271374999999999</v>
      </c>
      <c r="M39" s="87">
        <f t="shared" si="4"/>
        <v>35.234866997748995</v>
      </c>
      <c r="N39" s="106">
        <v>2899340.9343878925</v>
      </c>
      <c r="O39" s="111">
        <v>499</v>
      </c>
      <c r="P39" s="111">
        <v>509.51</v>
      </c>
      <c r="Q39" s="111">
        <v>502.85</v>
      </c>
    </row>
    <row r="40" spans="1:17" s="58" customFormat="1" ht="15" customHeight="1" x14ac:dyDescent="0.35">
      <c r="A40" s="54">
        <v>56002</v>
      </c>
      <c r="B40" s="55" t="s">
        <v>95</v>
      </c>
      <c r="C40" s="56">
        <v>0.182</v>
      </c>
      <c r="D40" s="56">
        <v>0.2</v>
      </c>
      <c r="E40" s="57">
        <v>380138592</v>
      </c>
      <c r="F40" s="57">
        <v>452503819</v>
      </c>
      <c r="G40" s="57">
        <f t="shared" si="2"/>
        <v>79842.993772000016</v>
      </c>
      <c r="H40" s="57">
        <v>1042938</v>
      </c>
      <c r="I40" s="58">
        <v>15</v>
      </c>
      <c r="J40" s="58">
        <v>179</v>
      </c>
      <c r="K40" s="93" t="s">
        <v>0</v>
      </c>
      <c r="L40" s="84">
        <f t="shared" si="3"/>
        <v>12</v>
      </c>
      <c r="M40" s="87">
        <f t="shared" si="4"/>
        <v>14.916666666666666</v>
      </c>
      <c r="N40" s="106">
        <v>1248184.784375</v>
      </c>
      <c r="O40" s="111">
        <v>167</v>
      </c>
      <c r="P40" s="111">
        <v>167</v>
      </c>
      <c r="Q40" s="111">
        <v>179</v>
      </c>
    </row>
    <row r="41" spans="1:17" s="58" customFormat="1" ht="15" customHeight="1" x14ac:dyDescent="0.35">
      <c r="A41" s="54">
        <v>51001</v>
      </c>
      <c r="B41" s="55" t="s">
        <v>112</v>
      </c>
      <c r="C41" s="56">
        <v>0.3</v>
      </c>
      <c r="D41" s="56">
        <v>0.3</v>
      </c>
      <c r="E41" s="57">
        <v>459290982</v>
      </c>
      <c r="F41" s="57">
        <v>486894381</v>
      </c>
      <c r="G41" s="57">
        <f t="shared" si="2"/>
        <v>141927.80445</v>
      </c>
      <c r="H41" s="57">
        <v>13461077</v>
      </c>
      <c r="I41" s="58">
        <v>5</v>
      </c>
      <c r="J41" s="58">
        <v>2759</v>
      </c>
      <c r="K41" s="93" t="s">
        <v>0</v>
      </c>
      <c r="L41" s="84">
        <f t="shared" si="3"/>
        <v>15</v>
      </c>
      <c r="M41" s="87">
        <f t="shared" si="4"/>
        <v>183.93333333333334</v>
      </c>
      <c r="N41" s="106">
        <v>15082033.602499999</v>
      </c>
      <c r="O41" s="111">
        <v>2655</v>
      </c>
      <c r="P41" s="111">
        <v>2676.15</v>
      </c>
      <c r="Q41" s="111">
        <v>2759</v>
      </c>
    </row>
    <row r="42" spans="1:17" s="58" customFormat="1" ht="15" customHeight="1" x14ac:dyDescent="0.35">
      <c r="A42" s="54">
        <v>64002</v>
      </c>
      <c r="B42" s="55" t="s">
        <v>28</v>
      </c>
      <c r="C42" s="56"/>
      <c r="D42" s="56">
        <v>0</v>
      </c>
      <c r="E42" s="57">
        <v>123975096</v>
      </c>
      <c r="F42" s="57">
        <v>146049001</v>
      </c>
      <c r="G42" s="57">
        <f t="shared" si="2"/>
        <v>0</v>
      </c>
      <c r="H42" s="57">
        <v>2032743</v>
      </c>
      <c r="I42" s="58">
        <v>2</v>
      </c>
      <c r="J42" s="58">
        <v>380</v>
      </c>
      <c r="K42" s="93" t="s">
        <v>0</v>
      </c>
      <c r="L42" s="84">
        <f t="shared" si="3"/>
        <v>13.35</v>
      </c>
      <c r="M42" s="87">
        <f t="shared" si="4"/>
        <v>28.464419475655433</v>
      </c>
      <c r="N42" s="106">
        <v>2336017.7584269666</v>
      </c>
      <c r="O42" s="111">
        <v>377</v>
      </c>
      <c r="P42" s="111">
        <v>368</v>
      </c>
      <c r="Q42" s="111">
        <v>380</v>
      </c>
    </row>
    <row r="43" spans="1:17" s="58" customFormat="1" ht="15" customHeight="1" x14ac:dyDescent="0.35">
      <c r="A43" s="54">
        <v>20001</v>
      </c>
      <c r="B43" s="55" t="s">
        <v>16</v>
      </c>
      <c r="C43" s="56"/>
      <c r="D43" s="56">
        <v>0</v>
      </c>
      <c r="E43" s="57">
        <v>124417861</v>
      </c>
      <c r="F43" s="57">
        <v>152835638</v>
      </c>
      <c r="G43" s="57">
        <f t="shared" si="2"/>
        <v>0</v>
      </c>
      <c r="H43" s="57">
        <v>1906335</v>
      </c>
      <c r="I43" s="58">
        <v>0</v>
      </c>
      <c r="J43" s="58">
        <v>353.02</v>
      </c>
      <c r="K43" s="93" t="s">
        <v>0</v>
      </c>
      <c r="L43" s="84">
        <f t="shared" si="3"/>
        <v>13.147649999999999</v>
      </c>
      <c r="M43" s="87">
        <f t="shared" si="4"/>
        <v>26.850425741482319</v>
      </c>
      <c r="N43" s="106">
        <v>2200664.9213357521</v>
      </c>
      <c r="O43" s="111">
        <v>333</v>
      </c>
      <c r="P43" s="111">
        <v>339</v>
      </c>
      <c r="Q43" s="111">
        <v>353.02</v>
      </c>
    </row>
    <row r="44" spans="1:17" s="58" customFormat="1" ht="15" customHeight="1" x14ac:dyDescent="0.35">
      <c r="A44" s="62">
        <v>23001</v>
      </c>
      <c r="B44" s="63" t="s">
        <v>144</v>
      </c>
      <c r="C44" s="56">
        <v>0.3</v>
      </c>
      <c r="D44" s="56">
        <v>0.3</v>
      </c>
      <c r="E44" s="57">
        <v>118998238</v>
      </c>
      <c r="F44" s="57">
        <v>126787679</v>
      </c>
      <c r="G44" s="57">
        <f t="shared" si="2"/>
        <v>36867.887549999999</v>
      </c>
      <c r="H44" s="57">
        <v>915888</v>
      </c>
      <c r="I44" s="58">
        <v>0</v>
      </c>
      <c r="J44" s="58">
        <v>150</v>
      </c>
      <c r="K44" s="93" t="s">
        <v>0</v>
      </c>
      <c r="L44" s="84">
        <f t="shared" si="3"/>
        <v>12</v>
      </c>
      <c r="M44" s="87">
        <f t="shared" si="4"/>
        <v>12.5</v>
      </c>
      <c r="N44" s="106">
        <v>1024501.875</v>
      </c>
      <c r="O44" s="111">
        <v>164</v>
      </c>
      <c r="P44" s="111">
        <v>156</v>
      </c>
      <c r="Q44" s="111">
        <v>150</v>
      </c>
    </row>
    <row r="45" spans="1:17" s="58" customFormat="1" ht="15" customHeight="1" thickBot="1" x14ac:dyDescent="0.4">
      <c r="A45" s="54">
        <v>22005</v>
      </c>
      <c r="B45" s="55" t="s">
        <v>102</v>
      </c>
      <c r="C45" s="56">
        <v>0.13500000000000001</v>
      </c>
      <c r="D45" s="56">
        <v>0.122</v>
      </c>
      <c r="E45" s="57">
        <v>338695919</v>
      </c>
      <c r="F45" s="57">
        <v>411185288</v>
      </c>
      <c r="G45" s="57">
        <f t="shared" si="2"/>
        <v>47944.277100500003</v>
      </c>
      <c r="H45" s="57">
        <v>755608</v>
      </c>
      <c r="I45" s="58">
        <v>0</v>
      </c>
      <c r="J45" s="58">
        <v>132</v>
      </c>
      <c r="K45" s="93" t="s">
        <v>0</v>
      </c>
      <c r="L45" s="84">
        <f t="shared" si="3"/>
        <v>12</v>
      </c>
      <c r="M45" s="87">
        <f t="shared" si="4"/>
        <v>11</v>
      </c>
      <c r="N45" s="106">
        <v>901561.65</v>
      </c>
      <c r="O45" s="111">
        <v>133</v>
      </c>
      <c r="P45" s="111">
        <v>130</v>
      </c>
      <c r="Q45" s="111">
        <v>132</v>
      </c>
    </row>
    <row r="46" spans="1:17" s="58" customFormat="1" ht="15" customHeight="1" x14ac:dyDescent="0.4">
      <c r="A46" s="62">
        <v>16002</v>
      </c>
      <c r="B46" s="63" t="s">
        <v>106</v>
      </c>
      <c r="C46" s="64"/>
      <c r="D46" s="56">
        <v>0</v>
      </c>
      <c r="E46" s="57">
        <v>37005767</v>
      </c>
      <c r="F46" s="57">
        <v>40496938</v>
      </c>
      <c r="G46" s="57">
        <f t="shared" si="2"/>
        <v>0</v>
      </c>
      <c r="H46" s="57">
        <v>51519</v>
      </c>
      <c r="I46" s="58">
        <v>0</v>
      </c>
      <c r="J46" s="58">
        <v>7</v>
      </c>
      <c r="K46" s="105" t="str">
        <f>K4</f>
        <v>Note: This district's local effort exceeded total need in FY2016 and will exceed total need in FY2017 and therefore the district is not subject to accountability requirements.  This district will receive no new state aid, as it already exceeds formula funding received by other districts.</v>
      </c>
      <c r="L46" s="84">
        <f t="shared" si="3"/>
        <v>12</v>
      </c>
      <c r="M46" s="87">
        <f t="shared" si="4"/>
        <v>0.58333333333333337</v>
      </c>
      <c r="N46" s="106">
        <v>47810.087500000001</v>
      </c>
      <c r="O46" s="111">
        <v>12</v>
      </c>
      <c r="P46" s="111">
        <v>6</v>
      </c>
      <c r="Q46" s="111">
        <v>7</v>
      </c>
    </row>
    <row r="47" spans="1:17" s="58" customFormat="1" ht="15" customHeight="1" x14ac:dyDescent="0.35">
      <c r="A47" s="54">
        <v>61007</v>
      </c>
      <c r="B47" s="55" t="s">
        <v>47</v>
      </c>
      <c r="C47" s="56">
        <v>0.3</v>
      </c>
      <c r="D47" s="56">
        <v>0.3</v>
      </c>
      <c r="E47" s="57">
        <v>468418008</v>
      </c>
      <c r="F47" s="57">
        <v>512278710</v>
      </c>
      <c r="G47" s="57">
        <f t="shared" si="2"/>
        <v>147104.50769999999</v>
      </c>
      <c r="H47" s="57">
        <v>3402418</v>
      </c>
      <c r="I47" s="58">
        <v>3</v>
      </c>
      <c r="J47" s="58">
        <v>686</v>
      </c>
      <c r="K47" s="93" t="s">
        <v>0</v>
      </c>
      <c r="L47" s="84">
        <f t="shared" si="3"/>
        <v>15</v>
      </c>
      <c r="M47" s="87">
        <f t="shared" si="4"/>
        <v>45.733333333333334</v>
      </c>
      <c r="N47" s="106">
        <v>3752408.8675000002</v>
      </c>
      <c r="O47" s="111">
        <v>688.86</v>
      </c>
      <c r="P47" s="111">
        <v>705</v>
      </c>
      <c r="Q47" s="111">
        <v>686</v>
      </c>
    </row>
    <row r="48" spans="1:17" s="60" customFormat="1" ht="15" customHeight="1" x14ac:dyDescent="0.35">
      <c r="A48" s="54">
        <v>5003</v>
      </c>
      <c r="B48" s="55" t="s">
        <v>148</v>
      </c>
      <c r="C48" s="56">
        <v>0.27900000000000003</v>
      </c>
      <c r="D48" s="56">
        <v>0.3</v>
      </c>
      <c r="E48" s="57">
        <v>283780385</v>
      </c>
      <c r="F48" s="57">
        <v>341843041</v>
      </c>
      <c r="G48" s="57">
        <f t="shared" si="2"/>
        <v>90863.819857499999</v>
      </c>
      <c r="H48" s="57">
        <v>1577201</v>
      </c>
      <c r="I48" s="58">
        <v>22</v>
      </c>
      <c r="J48" s="58">
        <v>279</v>
      </c>
      <c r="K48" s="93" t="s">
        <v>0</v>
      </c>
      <c r="L48" s="84">
        <f t="shared" si="3"/>
        <v>12.592499999999999</v>
      </c>
      <c r="M48" s="87">
        <f t="shared" si="4"/>
        <v>22.156045265038713</v>
      </c>
      <c r="N48" s="106">
        <v>1851710.3573555688</v>
      </c>
      <c r="O48" s="111">
        <v>260</v>
      </c>
      <c r="P48" s="111">
        <v>267</v>
      </c>
      <c r="Q48" s="111">
        <v>279</v>
      </c>
    </row>
    <row r="49" spans="1:17" s="58" customFormat="1" ht="15" customHeight="1" x14ac:dyDescent="0.35">
      <c r="A49" s="54">
        <v>28002</v>
      </c>
      <c r="B49" s="55" t="s">
        <v>70</v>
      </c>
      <c r="C49" s="56">
        <v>0.27400000000000002</v>
      </c>
      <c r="D49" s="56">
        <v>0.3</v>
      </c>
      <c r="E49" s="57">
        <v>261297337</v>
      </c>
      <c r="F49" s="57">
        <v>289271354</v>
      </c>
      <c r="G49" s="57">
        <f t="shared" si="2"/>
        <v>79188.438268999991</v>
      </c>
      <c r="H49" s="57">
        <v>1428569</v>
      </c>
      <c r="I49" s="58">
        <v>3</v>
      </c>
      <c r="J49" s="58">
        <v>245</v>
      </c>
      <c r="K49" s="93" t="s">
        <v>0</v>
      </c>
      <c r="L49" s="84">
        <f t="shared" si="3"/>
        <v>12.3375</v>
      </c>
      <c r="M49" s="87">
        <f t="shared" si="4"/>
        <v>19.858156028368793</v>
      </c>
      <c r="N49" s="106">
        <v>1632559.8267477206</v>
      </c>
      <c r="O49" s="111">
        <v>254</v>
      </c>
      <c r="P49" s="111">
        <v>254</v>
      </c>
      <c r="Q49" s="111">
        <v>245</v>
      </c>
    </row>
    <row r="50" spans="1:17" s="58" customFormat="1" ht="15" customHeight="1" x14ac:dyDescent="0.35">
      <c r="A50" s="54">
        <v>17001</v>
      </c>
      <c r="B50" s="55" t="s">
        <v>40</v>
      </c>
      <c r="C50" s="56">
        <v>0.27</v>
      </c>
      <c r="D50" s="56">
        <v>0.3</v>
      </c>
      <c r="E50" s="57">
        <v>123640121</v>
      </c>
      <c r="F50" s="57">
        <v>137919483</v>
      </c>
      <c r="G50" s="57">
        <f t="shared" si="2"/>
        <v>37379.338785</v>
      </c>
      <c r="H50" s="57">
        <v>1369378</v>
      </c>
      <c r="I50" s="58">
        <v>0</v>
      </c>
      <c r="J50" s="58">
        <v>239</v>
      </c>
      <c r="K50" s="93" t="s">
        <v>0</v>
      </c>
      <c r="L50" s="84">
        <f t="shared" si="3"/>
        <v>12.2925</v>
      </c>
      <c r="M50" s="87">
        <f t="shared" si="4"/>
        <v>19.442749644091926</v>
      </c>
      <c r="N50" s="106">
        <v>1593530.6772422208</v>
      </c>
      <c r="O50" s="111">
        <v>245.6</v>
      </c>
      <c r="P50" s="111">
        <v>240.6</v>
      </c>
      <c r="Q50" s="111">
        <v>239</v>
      </c>
    </row>
    <row r="51" spans="1:17" s="58" customFormat="1" ht="15" customHeight="1" x14ac:dyDescent="0.35">
      <c r="A51" s="54">
        <v>44001</v>
      </c>
      <c r="B51" s="55" t="s">
        <v>98</v>
      </c>
      <c r="C51" s="56">
        <v>0.15</v>
      </c>
      <c r="D51" s="56">
        <v>0.18</v>
      </c>
      <c r="E51" s="57">
        <v>320312754</v>
      </c>
      <c r="F51" s="57">
        <v>367323970</v>
      </c>
      <c r="G51" s="57">
        <f t="shared" si="2"/>
        <v>57082.613849999994</v>
      </c>
      <c r="H51" s="57">
        <v>789953</v>
      </c>
      <c r="I51" s="58">
        <v>0</v>
      </c>
      <c r="J51" s="58">
        <v>138</v>
      </c>
      <c r="K51" s="93" t="s">
        <v>0</v>
      </c>
      <c r="L51" s="84">
        <f t="shared" si="3"/>
        <v>12</v>
      </c>
      <c r="M51" s="87">
        <f t="shared" si="4"/>
        <v>11.5</v>
      </c>
      <c r="N51" s="106">
        <v>942541.72499999998</v>
      </c>
      <c r="O51" s="111">
        <v>140</v>
      </c>
      <c r="P51" s="111">
        <v>135</v>
      </c>
      <c r="Q51" s="111">
        <v>138</v>
      </c>
    </row>
    <row r="52" spans="1:17" s="58" customFormat="1" ht="15" customHeight="1" x14ac:dyDescent="0.35">
      <c r="A52" s="54">
        <v>46002</v>
      </c>
      <c r="B52" s="55" t="s">
        <v>125</v>
      </c>
      <c r="C52" s="56">
        <v>0.27300000000000002</v>
      </c>
      <c r="D52" s="56">
        <v>0.3</v>
      </c>
      <c r="E52" s="57">
        <v>96597473</v>
      </c>
      <c r="F52" s="57">
        <v>113791122</v>
      </c>
      <c r="G52" s="57">
        <f t="shared" si="2"/>
        <v>30254.223364500001</v>
      </c>
      <c r="H52" s="57">
        <v>1099066</v>
      </c>
      <c r="I52" s="58">
        <v>0</v>
      </c>
      <c r="J52" s="58">
        <v>185</v>
      </c>
      <c r="K52" s="93" t="s">
        <v>0</v>
      </c>
      <c r="L52" s="84">
        <f t="shared" si="3"/>
        <v>12</v>
      </c>
      <c r="M52" s="87">
        <f t="shared" si="4"/>
        <v>15.416666666666666</v>
      </c>
      <c r="N52" s="106">
        <v>1263552.3125</v>
      </c>
      <c r="O52" s="111">
        <v>188</v>
      </c>
      <c r="P52" s="111">
        <v>196</v>
      </c>
      <c r="Q52" s="111">
        <v>185</v>
      </c>
    </row>
    <row r="53" spans="1:17" s="58" customFormat="1" ht="15" customHeight="1" x14ac:dyDescent="0.35">
      <c r="A53" s="59">
        <v>24004</v>
      </c>
      <c r="B53" s="55" t="s">
        <v>152</v>
      </c>
      <c r="C53" s="56">
        <v>0.17899999999999999</v>
      </c>
      <c r="D53" s="56">
        <v>0.16900000000000001</v>
      </c>
      <c r="E53" s="57">
        <v>622418524</v>
      </c>
      <c r="F53" s="57">
        <v>766183682</v>
      </c>
      <c r="G53" s="57">
        <f t="shared" si="2"/>
        <v>120448.97902699999</v>
      </c>
      <c r="H53" s="57">
        <v>1724108</v>
      </c>
      <c r="I53" s="58">
        <v>8</v>
      </c>
      <c r="J53" s="58">
        <v>302</v>
      </c>
      <c r="K53" s="93" t="s">
        <v>0</v>
      </c>
      <c r="L53" s="84">
        <f t="shared" si="3"/>
        <v>12.765000000000001</v>
      </c>
      <c r="M53" s="87">
        <f t="shared" si="4"/>
        <v>23.658441049745395</v>
      </c>
      <c r="N53" s="106">
        <v>1951890.7638072853</v>
      </c>
      <c r="O53" s="111">
        <v>311</v>
      </c>
      <c r="P53" s="111">
        <v>314</v>
      </c>
      <c r="Q53" s="111">
        <v>302</v>
      </c>
    </row>
    <row r="54" spans="1:17" s="58" customFormat="1" ht="15" customHeight="1" x14ac:dyDescent="0.35">
      <c r="A54" s="54">
        <v>50003</v>
      </c>
      <c r="B54" s="55" t="s">
        <v>51</v>
      </c>
      <c r="C54" s="56">
        <v>0.26700000000000002</v>
      </c>
      <c r="D54" s="56">
        <v>0.3</v>
      </c>
      <c r="E54" s="57">
        <v>424486035</v>
      </c>
      <c r="F54" s="57">
        <v>472500358</v>
      </c>
      <c r="G54" s="57">
        <f t="shared" si="2"/>
        <v>127543.9393725</v>
      </c>
      <c r="H54" s="57">
        <v>3287911</v>
      </c>
      <c r="I54" s="58">
        <v>18</v>
      </c>
      <c r="J54" s="58">
        <v>669.7</v>
      </c>
      <c r="K54" s="93" t="s">
        <v>0</v>
      </c>
      <c r="L54" s="84">
        <f t="shared" si="3"/>
        <v>15</v>
      </c>
      <c r="M54" s="87">
        <f t="shared" si="4"/>
        <v>44.646666666666668</v>
      </c>
      <c r="N54" s="106">
        <v>3683835.5419999994</v>
      </c>
      <c r="O54" s="111">
        <v>639.70000000000005</v>
      </c>
      <c r="P54" s="111">
        <v>656.84</v>
      </c>
      <c r="Q54" s="111">
        <v>669.7</v>
      </c>
    </row>
    <row r="55" spans="1:17" s="58" customFormat="1" ht="15" customHeight="1" x14ac:dyDescent="0.35">
      <c r="A55" s="54">
        <v>14001</v>
      </c>
      <c r="B55" s="55" t="s">
        <v>134</v>
      </c>
      <c r="C55" s="56">
        <v>0.3</v>
      </c>
      <c r="D55" s="56">
        <v>0.3</v>
      </c>
      <c r="E55" s="57">
        <v>117305706</v>
      </c>
      <c r="F55" s="57">
        <v>135390865</v>
      </c>
      <c r="G55" s="57">
        <f t="shared" si="2"/>
        <v>37904.485649999995</v>
      </c>
      <c r="H55" s="57">
        <v>1338080</v>
      </c>
      <c r="I55" s="58">
        <v>0</v>
      </c>
      <c r="J55" s="58">
        <v>237</v>
      </c>
      <c r="K55" s="93" t="s">
        <v>0</v>
      </c>
      <c r="L55" s="84">
        <f t="shared" si="3"/>
        <v>12.2775</v>
      </c>
      <c r="M55" s="87">
        <f t="shared" si="4"/>
        <v>19.303604153940135</v>
      </c>
      <c r="N55" s="106">
        <v>1582126.2919975566</v>
      </c>
      <c r="O55" s="111">
        <v>207</v>
      </c>
      <c r="P55" s="111">
        <v>226</v>
      </c>
      <c r="Q55" s="111">
        <v>237</v>
      </c>
    </row>
    <row r="56" spans="1:17" s="58" customFormat="1" ht="15" customHeight="1" x14ac:dyDescent="0.35">
      <c r="A56" s="54">
        <v>6002</v>
      </c>
      <c r="B56" s="55" t="s">
        <v>100</v>
      </c>
      <c r="C56" s="56">
        <v>0.23899999999999999</v>
      </c>
      <c r="D56" s="56">
        <v>0.3</v>
      </c>
      <c r="E56" s="57">
        <v>213384471</v>
      </c>
      <c r="F56" s="57">
        <v>251387203</v>
      </c>
      <c r="G56" s="57">
        <f t="shared" si="2"/>
        <v>63207.524734499988</v>
      </c>
      <c r="H56" s="57">
        <v>976852</v>
      </c>
      <c r="I56" s="58">
        <v>0</v>
      </c>
      <c r="J56" s="58">
        <v>158.30000000000001</v>
      </c>
      <c r="K56" s="93" t="s">
        <v>0</v>
      </c>
      <c r="L56" s="84">
        <f t="shared" si="3"/>
        <v>12</v>
      </c>
      <c r="M56" s="87">
        <f t="shared" si="4"/>
        <v>13.191666666666668</v>
      </c>
      <c r="N56" s="106">
        <v>1081190.9787500002</v>
      </c>
      <c r="O56" s="111">
        <v>174</v>
      </c>
      <c r="P56" s="111">
        <v>167.3</v>
      </c>
      <c r="Q56" s="111">
        <v>158.30000000000001</v>
      </c>
    </row>
    <row r="57" spans="1:17" s="58" customFormat="1" ht="15" customHeight="1" x14ac:dyDescent="0.35">
      <c r="A57" s="54">
        <v>33001</v>
      </c>
      <c r="B57" s="55" t="s">
        <v>93</v>
      </c>
      <c r="C57" s="56">
        <v>0.27</v>
      </c>
      <c r="D57" s="56">
        <v>0.3</v>
      </c>
      <c r="E57" s="57">
        <v>340644196</v>
      </c>
      <c r="F57" s="57">
        <v>386312346</v>
      </c>
      <c r="G57" s="57">
        <f t="shared" si="2"/>
        <v>103933.81836</v>
      </c>
      <c r="H57" s="57">
        <v>1805229</v>
      </c>
      <c r="I57" s="58">
        <v>25</v>
      </c>
      <c r="J57" s="58">
        <v>318.02</v>
      </c>
      <c r="K57" s="93" t="s">
        <v>0</v>
      </c>
      <c r="L57" s="84">
        <f t="shared" si="3"/>
        <v>12.885149999999999</v>
      </c>
      <c r="M57" s="87">
        <f t="shared" si="4"/>
        <v>24.681125171224238</v>
      </c>
      <c r="N57" s="106">
        <v>2062623.8608398042</v>
      </c>
      <c r="O57" s="111">
        <v>339.1</v>
      </c>
      <c r="P57" s="111">
        <v>311.08</v>
      </c>
      <c r="Q57" s="111">
        <v>318.02</v>
      </c>
    </row>
    <row r="58" spans="1:17" s="58" customFormat="1" ht="15" customHeight="1" x14ac:dyDescent="0.35">
      <c r="A58" s="54">
        <v>49004</v>
      </c>
      <c r="B58" s="55" t="s">
        <v>127</v>
      </c>
      <c r="C58" s="56">
        <v>0.3</v>
      </c>
      <c r="D58" s="56">
        <v>0.3</v>
      </c>
      <c r="E58" s="57">
        <v>251987750</v>
      </c>
      <c r="F58" s="57">
        <v>274262063</v>
      </c>
      <c r="G58" s="57">
        <f t="shared" si="2"/>
        <v>78937.471949999992</v>
      </c>
      <c r="H58" s="57">
        <v>2481361</v>
      </c>
      <c r="I58" s="58">
        <v>0</v>
      </c>
      <c r="J58" s="58">
        <v>474</v>
      </c>
      <c r="K58" s="93" t="s">
        <v>0</v>
      </c>
      <c r="L58" s="84">
        <f t="shared" si="3"/>
        <v>14.055</v>
      </c>
      <c r="M58" s="87">
        <f t="shared" si="4"/>
        <v>33.724653148345787</v>
      </c>
      <c r="N58" s="106">
        <v>2764077.6307363929</v>
      </c>
      <c r="O58" s="111">
        <v>494</v>
      </c>
      <c r="P58" s="111">
        <v>475</v>
      </c>
      <c r="Q58" s="111">
        <v>474</v>
      </c>
    </row>
    <row r="59" spans="1:17" s="58" customFormat="1" ht="15" customHeight="1" x14ac:dyDescent="0.35">
      <c r="A59" s="54">
        <v>63001</v>
      </c>
      <c r="B59" s="55" t="s">
        <v>39</v>
      </c>
      <c r="C59" s="56">
        <v>0.27100000000000002</v>
      </c>
      <c r="D59" s="56">
        <v>0.3</v>
      </c>
      <c r="E59" s="57">
        <v>114351838</v>
      </c>
      <c r="F59" s="57">
        <v>127444368</v>
      </c>
      <c r="G59" s="57">
        <f t="shared" si="2"/>
        <v>34611.329248999995</v>
      </c>
      <c r="H59" s="57">
        <v>1589969</v>
      </c>
      <c r="I59" s="58">
        <v>0</v>
      </c>
      <c r="J59" s="58">
        <v>287</v>
      </c>
      <c r="K59" s="93" t="s">
        <v>0</v>
      </c>
      <c r="L59" s="84">
        <f t="shared" si="3"/>
        <v>12.6525</v>
      </c>
      <c r="M59" s="87">
        <f t="shared" si="4"/>
        <v>22.683264177040112</v>
      </c>
      <c r="N59" s="106">
        <v>1859123.7344398343</v>
      </c>
      <c r="O59" s="111">
        <v>275</v>
      </c>
      <c r="P59" s="111">
        <v>275.05</v>
      </c>
      <c r="Q59" s="111">
        <v>287</v>
      </c>
    </row>
    <row r="60" spans="1:17" s="58" customFormat="1" ht="15" customHeight="1" x14ac:dyDescent="0.35">
      <c r="A60" s="54">
        <v>53001</v>
      </c>
      <c r="B60" s="55" t="s">
        <v>52</v>
      </c>
      <c r="C60" s="56">
        <v>0.24199999999999999</v>
      </c>
      <c r="D60" s="56">
        <v>0.3</v>
      </c>
      <c r="E60" s="57">
        <v>220449990</v>
      </c>
      <c r="F60" s="57">
        <v>255427005</v>
      </c>
      <c r="G60" s="57">
        <f t="shared" si="2"/>
        <v>64988.499539999997</v>
      </c>
      <c r="H60" s="57">
        <v>1461721</v>
      </c>
      <c r="I60" s="58">
        <v>0</v>
      </c>
      <c r="J60" s="58">
        <v>252.04</v>
      </c>
      <c r="K60" s="93" t="s">
        <v>0</v>
      </c>
      <c r="L60" s="84">
        <f t="shared" si="3"/>
        <v>12.3903</v>
      </c>
      <c r="M60" s="87">
        <f t="shared" si="4"/>
        <v>20.34171892528833</v>
      </c>
      <c r="N60" s="106">
        <v>1667210.3343744704</v>
      </c>
      <c r="O60" s="111">
        <v>263.39999999999998</v>
      </c>
      <c r="P60" s="111">
        <v>259.14999999999998</v>
      </c>
      <c r="Q60" s="111">
        <v>252.04</v>
      </c>
    </row>
    <row r="61" spans="1:17" s="58" customFormat="1" ht="15" customHeight="1" x14ac:dyDescent="0.35">
      <c r="A61" s="54">
        <v>25003</v>
      </c>
      <c r="B61" s="55" t="s">
        <v>110</v>
      </c>
      <c r="C61" s="56">
        <v>0.254</v>
      </c>
      <c r="D61" s="56">
        <v>0.3</v>
      </c>
      <c r="E61" s="57">
        <v>230010456</v>
      </c>
      <c r="F61" s="57">
        <v>261026212</v>
      </c>
      <c r="G61" s="57">
        <f t="shared" si="2"/>
        <v>68365.259711999999</v>
      </c>
      <c r="H61" s="57">
        <v>546671</v>
      </c>
      <c r="I61" s="58">
        <v>0</v>
      </c>
      <c r="J61" s="58">
        <v>69</v>
      </c>
      <c r="K61" s="93" t="s">
        <v>0</v>
      </c>
      <c r="L61" s="84">
        <f t="shared" si="3"/>
        <v>12</v>
      </c>
      <c r="M61" s="87">
        <f t="shared" si="4"/>
        <v>5.75</v>
      </c>
      <c r="N61" s="106">
        <v>471270.86249999999</v>
      </c>
      <c r="O61" s="111">
        <v>108</v>
      </c>
      <c r="P61" s="111">
        <v>83</v>
      </c>
      <c r="Q61" s="111">
        <v>69</v>
      </c>
    </row>
    <row r="62" spans="1:17" s="58" customFormat="1" ht="15" customHeight="1" x14ac:dyDescent="0.35">
      <c r="A62" s="54">
        <v>26004</v>
      </c>
      <c r="B62" s="55" t="s">
        <v>140</v>
      </c>
      <c r="C62" s="56">
        <v>0.29799999999999999</v>
      </c>
      <c r="D62" s="56">
        <v>0.3</v>
      </c>
      <c r="E62" s="57">
        <v>240157830</v>
      </c>
      <c r="F62" s="57">
        <v>272804680</v>
      </c>
      <c r="G62" s="57">
        <f t="shared" si="2"/>
        <v>76704.218670000002</v>
      </c>
      <c r="H62" s="57">
        <v>2079964</v>
      </c>
      <c r="I62" s="58">
        <v>0</v>
      </c>
      <c r="J62" s="58">
        <v>391</v>
      </c>
      <c r="K62" s="93" t="s">
        <v>0</v>
      </c>
      <c r="L62" s="84">
        <f t="shared" si="3"/>
        <v>13.432500000000001</v>
      </c>
      <c r="M62" s="87">
        <f t="shared" si="4"/>
        <v>29.108505490415038</v>
      </c>
      <c r="N62" s="106">
        <v>2385737.4762702398</v>
      </c>
      <c r="O62" s="111">
        <v>379</v>
      </c>
      <c r="P62" s="111">
        <v>382</v>
      </c>
      <c r="Q62" s="111">
        <v>391</v>
      </c>
    </row>
    <row r="63" spans="1:17" s="58" customFormat="1" ht="15" customHeight="1" x14ac:dyDescent="0.35">
      <c r="A63" s="59">
        <v>6006</v>
      </c>
      <c r="B63" s="55" t="s">
        <v>80</v>
      </c>
      <c r="C63" s="56">
        <v>0.219</v>
      </c>
      <c r="D63" s="56">
        <v>0.17599999999999999</v>
      </c>
      <c r="E63" s="57">
        <v>915084971</v>
      </c>
      <c r="F63" s="57">
        <v>1085555485</v>
      </c>
      <c r="G63" s="57">
        <f t="shared" si="2"/>
        <v>195730.68700449998</v>
      </c>
      <c r="H63" s="57">
        <v>2885532</v>
      </c>
      <c r="I63" s="58">
        <v>1</v>
      </c>
      <c r="J63" s="58">
        <v>582</v>
      </c>
      <c r="K63" s="93" t="s">
        <v>0</v>
      </c>
      <c r="L63" s="84">
        <f t="shared" si="3"/>
        <v>14.865</v>
      </c>
      <c r="M63" s="87">
        <f t="shared" si="4"/>
        <v>39.152371342078709</v>
      </c>
      <c r="N63" s="106">
        <v>3210312.6362260343</v>
      </c>
      <c r="O63" s="111">
        <v>581</v>
      </c>
      <c r="P63" s="111">
        <v>596</v>
      </c>
      <c r="Q63" s="111">
        <v>582</v>
      </c>
    </row>
    <row r="64" spans="1:17" s="58" customFormat="1" ht="15" customHeight="1" x14ac:dyDescent="0.35">
      <c r="A64" s="54">
        <v>27001</v>
      </c>
      <c r="B64" s="55" t="s">
        <v>57</v>
      </c>
      <c r="C64" s="56">
        <v>0.26500000000000001</v>
      </c>
      <c r="D64" s="56">
        <v>0.3</v>
      </c>
      <c r="E64" s="57">
        <v>368091307</v>
      </c>
      <c r="F64" s="57">
        <v>422490888</v>
      </c>
      <c r="G64" s="57">
        <f t="shared" si="2"/>
        <v>112145.73137749999</v>
      </c>
      <c r="H64" s="57">
        <v>1641520</v>
      </c>
      <c r="I64" s="58">
        <v>0</v>
      </c>
      <c r="J64" s="58">
        <v>288</v>
      </c>
      <c r="K64" s="93" t="s">
        <v>0</v>
      </c>
      <c r="L64" s="84">
        <f t="shared" si="3"/>
        <v>12.66</v>
      </c>
      <c r="M64" s="87">
        <f t="shared" si="4"/>
        <v>22.748815165876778</v>
      </c>
      <c r="N64" s="106">
        <v>1864496.3033175357</v>
      </c>
      <c r="O64" s="111">
        <v>300</v>
      </c>
      <c r="P64" s="111">
        <v>295</v>
      </c>
      <c r="Q64" s="111">
        <v>288</v>
      </c>
    </row>
    <row r="65" spans="1:17" s="58" customFormat="1" ht="15" customHeight="1" x14ac:dyDescent="0.35">
      <c r="A65" s="54">
        <v>28003</v>
      </c>
      <c r="B65" s="55" t="s">
        <v>66</v>
      </c>
      <c r="C65" s="56">
        <v>0.254</v>
      </c>
      <c r="D65" s="56">
        <v>0.3</v>
      </c>
      <c r="E65" s="57">
        <v>470945178</v>
      </c>
      <c r="F65" s="57">
        <v>538456787</v>
      </c>
      <c r="G65" s="57">
        <f t="shared" si="2"/>
        <v>140578.55565599998</v>
      </c>
      <c r="H65" s="57">
        <v>3549940</v>
      </c>
      <c r="I65" s="58">
        <v>5</v>
      </c>
      <c r="J65" s="58">
        <v>726.68</v>
      </c>
      <c r="K65" s="93" t="s">
        <v>0</v>
      </c>
      <c r="L65" s="84">
        <f t="shared" si="3"/>
        <v>15</v>
      </c>
      <c r="M65" s="87">
        <f t="shared" si="4"/>
        <v>48.44533333333333</v>
      </c>
      <c r="N65" s="106">
        <v>3977416.7992999996</v>
      </c>
      <c r="O65" s="111">
        <v>715</v>
      </c>
      <c r="P65" s="111">
        <v>726.25</v>
      </c>
      <c r="Q65" s="111">
        <v>726.68</v>
      </c>
    </row>
    <row r="66" spans="1:17" s="58" customFormat="1" ht="15" customHeight="1" x14ac:dyDescent="0.35">
      <c r="A66" s="54">
        <v>30001</v>
      </c>
      <c r="B66" s="55" t="s">
        <v>79</v>
      </c>
      <c r="C66" s="56">
        <v>0.26300000000000001</v>
      </c>
      <c r="D66" s="56">
        <v>0.3</v>
      </c>
      <c r="E66" s="57">
        <v>288946707</v>
      </c>
      <c r="F66" s="57">
        <v>324861893</v>
      </c>
      <c r="G66" s="57">
        <f t="shared" si="2"/>
        <v>86725.775920499989</v>
      </c>
      <c r="H66" s="57">
        <v>2302849</v>
      </c>
      <c r="I66" s="58">
        <v>10</v>
      </c>
      <c r="J66" s="58">
        <v>439</v>
      </c>
      <c r="K66" s="93" t="s">
        <v>0</v>
      </c>
      <c r="L66" s="84">
        <f t="shared" si="3"/>
        <v>13.7925</v>
      </c>
      <c r="M66" s="87">
        <f t="shared" si="4"/>
        <v>31.828892514047489</v>
      </c>
      <c r="N66" s="106">
        <v>2623556.7319195215</v>
      </c>
      <c r="O66" s="111">
        <v>409.28</v>
      </c>
      <c r="P66" s="111">
        <v>423</v>
      </c>
      <c r="Q66" s="111">
        <v>439</v>
      </c>
    </row>
    <row r="67" spans="1:17" s="58" customFormat="1" ht="15" customHeight="1" x14ac:dyDescent="0.35">
      <c r="A67" s="54">
        <v>31001</v>
      </c>
      <c r="B67" s="55" t="s">
        <v>149</v>
      </c>
      <c r="C67" s="56">
        <v>0.26200000000000001</v>
      </c>
      <c r="D67" s="56">
        <v>0.3</v>
      </c>
      <c r="E67" s="57">
        <v>255123949</v>
      </c>
      <c r="F67" s="57">
        <v>285709959</v>
      </c>
      <c r="G67" s="57">
        <f t="shared" si="2"/>
        <v>76277.731169000006</v>
      </c>
      <c r="H67" s="57">
        <v>1111945</v>
      </c>
      <c r="I67" s="58">
        <v>0</v>
      </c>
      <c r="J67" s="58">
        <v>194.25</v>
      </c>
      <c r="K67" s="93" t="s">
        <v>0</v>
      </c>
      <c r="L67" s="84">
        <f t="shared" ref="L67:L98" si="5">IF(J67&lt;200,12,IF(J67&gt;600,15,(J67*0.0075)+10.5))</f>
        <v>12</v>
      </c>
      <c r="M67" s="87">
        <f t="shared" ref="M67:M98" si="6">J67/L67</f>
        <v>16.1875</v>
      </c>
      <c r="N67" s="106">
        <v>1326729.9281250001</v>
      </c>
      <c r="O67" s="111">
        <v>169.25</v>
      </c>
      <c r="P67" s="111">
        <v>179.25</v>
      </c>
      <c r="Q67" s="111">
        <v>194.25</v>
      </c>
    </row>
    <row r="68" spans="1:17" s="58" customFormat="1" ht="15" customHeight="1" x14ac:dyDescent="0.35">
      <c r="A68" s="62">
        <v>41002</v>
      </c>
      <c r="B68" s="63" t="s">
        <v>44</v>
      </c>
      <c r="C68" s="56">
        <v>0.3</v>
      </c>
      <c r="D68" s="56">
        <v>0.3</v>
      </c>
      <c r="E68" s="57">
        <v>1639791894</v>
      </c>
      <c r="F68" s="57">
        <v>1871452384</v>
      </c>
      <c r="G68" s="57">
        <f t="shared" ref="G68:G131" si="7">((E68/2*C68)+(F68/2*D68))/1000</f>
        <v>526686.64169999992</v>
      </c>
      <c r="H68" s="57">
        <v>18817466</v>
      </c>
      <c r="I68" s="58">
        <v>20</v>
      </c>
      <c r="J68" s="58">
        <v>3853.6</v>
      </c>
      <c r="K68" s="93" t="s">
        <v>0</v>
      </c>
      <c r="L68" s="84">
        <f t="shared" si="5"/>
        <v>15</v>
      </c>
      <c r="M68" s="87">
        <f t="shared" si="6"/>
        <v>256.90666666666664</v>
      </c>
      <c r="N68" s="106">
        <v>21083428.985999998</v>
      </c>
      <c r="O68" s="111">
        <v>3267.04</v>
      </c>
      <c r="P68" s="111">
        <v>3572</v>
      </c>
      <c r="Q68" s="111">
        <v>3853.6</v>
      </c>
    </row>
    <row r="69" spans="1:17" s="58" customFormat="1" ht="15" customHeight="1" x14ac:dyDescent="0.35">
      <c r="A69" s="54">
        <v>14002</v>
      </c>
      <c r="B69" s="55" t="s">
        <v>132</v>
      </c>
      <c r="C69" s="56">
        <v>0.3</v>
      </c>
      <c r="D69" s="56">
        <v>0.3</v>
      </c>
      <c r="E69" s="57">
        <v>95229430</v>
      </c>
      <c r="F69" s="57">
        <v>108811856</v>
      </c>
      <c r="G69" s="57">
        <f t="shared" si="7"/>
        <v>30606.192899999998</v>
      </c>
      <c r="H69" s="57">
        <v>1001753</v>
      </c>
      <c r="I69" s="58">
        <v>0</v>
      </c>
      <c r="J69" s="58">
        <v>166</v>
      </c>
      <c r="K69" s="93" t="s">
        <v>0</v>
      </c>
      <c r="L69" s="84">
        <f t="shared" si="5"/>
        <v>12</v>
      </c>
      <c r="M69" s="87">
        <f t="shared" si="6"/>
        <v>13.833333333333334</v>
      </c>
      <c r="N69" s="106">
        <v>1133782.075</v>
      </c>
      <c r="O69" s="111">
        <v>173</v>
      </c>
      <c r="P69" s="111">
        <v>177</v>
      </c>
      <c r="Q69" s="111">
        <v>166</v>
      </c>
    </row>
    <row r="70" spans="1:17" s="58" customFormat="1" ht="15" customHeight="1" x14ac:dyDescent="0.35">
      <c r="A70" s="54">
        <v>10001</v>
      </c>
      <c r="B70" s="55" t="s">
        <v>26</v>
      </c>
      <c r="C70" s="56"/>
      <c r="D70" s="56">
        <v>0</v>
      </c>
      <c r="E70" s="57">
        <v>144684118</v>
      </c>
      <c r="F70" s="57">
        <v>174468429</v>
      </c>
      <c r="G70" s="57">
        <f t="shared" si="7"/>
        <v>0</v>
      </c>
      <c r="H70" s="57">
        <v>687717</v>
      </c>
      <c r="I70" s="58">
        <v>0</v>
      </c>
      <c r="J70" s="58">
        <v>120.14</v>
      </c>
      <c r="K70" s="93" t="s">
        <v>0</v>
      </c>
      <c r="L70" s="84">
        <f t="shared" si="5"/>
        <v>12</v>
      </c>
      <c r="M70" s="87">
        <f t="shared" si="6"/>
        <v>10.011666666666667</v>
      </c>
      <c r="N70" s="106">
        <v>820557.70175000001</v>
      </c>
      <c r="O70" s="111">
        <v>120</v>
      </c>
      <c r="P70" s="111">
        <v>120</v>
      </c>
      <c r="Q70" s="111">
        <v>120.14</v>
      </c>
    </row>
    <row r="71" spans="1:17" s="58" customFormat="1" ht="15" customHeight="1" thickBot="1" x14ac:dyDescent="0.4">
      <c r="A71" s="54">
        <v>34002</v>
      </c>
      <c r="B71" s="55" t="s">
        <v>153</v>
      </c>
      <c r="C71" s="56"/>
      <c r="D71" s="56">
        <v>0</v>
      </c>
      <c r="E71" s="57">
        <v>569722252</v>
      </c>
      <c r="F71" s="57">
        <v>654270187</v>
      </c>
      <c r="G71" s="57">
        <f t="shared" si="7"/>
        <v>0</v>
      </c>
      <c r="H71" s="57">
        <v>1477930</v>
      </c>
      <c r="I71" s="58">
        <v>0</v>
      </c>
      <c r="J71" s="58">
        <v>251.4</v>
      </c>
      <c r="K71" s="93" t="s">
        <v>0</v>
      </c>
      <c r="L71" s="84">
        <f t="shared" si="5"/>
        <v>12.3855</v>
      </c>
      <c r="M71" s="87">
        <f t="shared" si="6"/>
        <v>20.297929029914012</v>
      </c>
      <c r="N71" s="106">
        <v>1663621.3079811069</v>
      </c>
      <c r="O71" s="111">
        <v>268</v>
      </c>
      <c r="P71" s="111">
        <v>261</v>
      </c>
      <c r="Q71" s="111">
        <v>251.4</v>
      </c>
    </row>
    <row r="72" spans="1:17" s="58" customFormat="1" ht="15" customHeight="1" x14ac:dyDescent="0.4">
      <c r="A72" s="54">
        <v>51002</v>
      </c>
      <c r="B72" s="55" t="s">
        <v>94</v>
      </c>
      <c r="C72" s="56">
        <v>0.3</v>
      </c>
      <c r="D72" s="56">
        <v>0.3</v>
      </c>
      <c r="E72" s="57">
        <v>446858180</v>
      </c>
      <c r="F72" s="57">
        <v>466592707</v>
      </c>
      <c r="G72" s="57">
        <f t="shared" si="7"/>
        <v>137017.63305</v>
      </c>
      <c r="H72" s="57">
        <v>2610579</v>
      </c>
      <c r="I72" s="58">
        <v>5</v>
      </c>
      <c r="J72" s="58">
        <v>499</v>
      </c>
      <c r="K72" s="105" t="str">
        <f>K46</f>
        <v>Note: This district's local effort exceeded total need in FY2016 and will exceed total need in FY2017 and therefore the district is not subject to accountability requirements.  This district will receive no new state aid, as it already exceeds formula funding received by other districts.</v>
      </c>
      <c r="L72" s="84">
        <f t="shared" si="5"/>
        <v>14.2425</v>
      </c>
      <c r="M72" s="87">
        <f t="shared" si="6"/>
        <v>35.03598385114973</v>
      </c>
      <c r="N72" s="106">
        <v>2878747.7646129546</v>
      </c>
      <c r="O72" s="111">
        <v>517.5</v>
      </c>
      <c r="P72" s="111">
        <v>512.6</v>
      </c>
      <c r="Q72" s="111">
        <v>499</v>
      </c>
    </row>
    <row r="73" spans="1:17" s="58" customFormat="1" ht="15" customHeight="1" x14ac:dyDescent="0.35">
      <c r="A73" s="59">
        <v>56006</v>
      </c>
      <c r="B73" s="55" t="s">
        <v>154</v>
      </c>
      <c r="C73" s="56">
        <v>0.12</v>
      </c>
      <c r="D73" s="56">
        <v>0.12</v>
      </c>
      <c r="E73" s="57">
        <v>455738048</v>
      </c>
      <c r="F73" s="57">
        <v>543280268</v>
      </c>
      <c r="G73" s="57">
        <f t="shared" si="7"/>
        <v>59941.098959999996</v>
      </c>
      <c r="H73" s="57">
        <v>1236442</v>
      </c>
      <c r="I73" s="58">
        <v>6</v>
      </c>
      <c r="J73" s="58">
        <v>216</v>
      </c>
      <c r="K73" s="93" t="s">
        <v>0</v>
      </c>
      <c r="L73" s="84">
        <f t="shared" si="5"/>
        <v>12.12</v>
      </c>
      <c r="M73" s="87">
        <f t="shared" si="6"/>
        <v>17.821782178217823</v>
      </c>
      <c r="N73" s="106">
        <v>1470819.5235148515</v>
      </c>
      <c r="O73" s="111">
        <v>206</v>
      </c>
      <c r="P73" s="111">
        <v>203</v>
      </c>
      <c r="Q73" s="111">
        <v>216</v>
      </c>
    </row>
    <row r="74" spans="1:17" s="58" customFormat="1" ht="15" customHeight="1" thickBot="1" x14ac:dyDescent="0.4">
      <c r="A74" s="62">
        <v>23002</v>
      </c>
      <c r="B74" s="63" t="s">
        <v>124</v>
      </c>
      <c r="C74" s="56">
        <v>0.3</v>
      </c>
      <c r="D74" s="56">
        <v>0.3</v>
      </c>
      <c r="E74" s="57">
        <v>352978728</v>
      </c>
      <c r="F74" s="57">
        <v>383435114</v>
      </c>
      <c r="G74" s="57">
        <f t="shared" si="7"/>
        <v>110462.0763</v>
      </c>
      <c r="H74" s="57">
        <v>3974803</v>
      </c>
      <c r="I74" s="58">
        <v>1</v>
      </c>
      <c r="J74" s="58">
        <v>814.8</v>
      </c>
      <c r="K74" s="93" t="s">
        <v>0</v>
      </c>
      <c r="L74" s="84">
        <f t="shared" si="5"/>
        <v>15</v>
      </c>
      <c r="M74" s="87">
        <f t="shared" si="6"/>
        <v>54.32</v>
      </c>
      <c r="N74" s="106">
        <v>4453441.3504999997</v>
      </c>
      <c r="O74" s="111">
        <v>808.08</v>
      </c>
      <c r="P74" s="111">
        <v>803.24</v>
      </c>
      <c r="Q74" s="111">
        <v>814.8</v>
      </c>
    </row>
    <row r="75" spans="1:17" s="58" customFormat="1" ht="15" customHeight="1" x14ac:dyDescent="0.4">
      <c r="A75" s="54">
        <v>53002</v>
      </c>
      <c r="B75" s="55" t="s">
        <v>30</v>
      </c>
      <c r="C75" s="56">
        <v>0.13</v>
      </c>
      <c r="D75" s="56">
        <v>0.13</v>
      </c>
      <c r="E75" s="57">
        <v>449029071</v>
      </c>
      <c r="F75" s="57">
        <v>528348333</v>
      </c>
      <c r="G75" s="57">
        <f t="shared" si="7"/>
        <v>63529.531260000003</v>
      </c>
      <c r="H75" s="57">
        <v>641122</v>
      </c>
      <c r="I75" s="58">
        <v>0</v>
      </c>
      <c r="J75" s="58">
        <v>112</v>
      </c>
      <c r="K75" s="105" t="str">
        <f>K72</f>
        <v>Note: This district's local effort exceeded total need in FY2016 and will exceed total need in FY2017 and therefore the district is not subject to accountability requirements.  This district will receive no new state aid, as it already exceeds formula funding received by other districts.</v>
      </c>
      <c r="L75" s="84">
        <f t="shared" si="5"/>
        <v>12</v>
      </c>
      <c r="M75" s="87">
        <f t="shared" si="6"/>
        <v>9.3333333333333339</v>
      </c>
      <c r="N75" s="106">
        <v>764961.4</v>
      </c>
      <c r="O75" s="111">
        <v>102</v>
      </c>
      <c r="P75" s="111">
        <v>107</v>
      </c>
      <c r="Q75" s="111">
        <v>112</v>
      </c>
    </row>
    <row r="76" spans="1:17" s="58" customFormat="1" ht="15" customHeight="1" x14ac:dyDescent="0.35">
      <c r="A76" s="54">
        <v>48003</v>
      </c>
      <c r="B76" s="55" t="s">
        <v>101</v>
      </c>
      <c r="C76" s="56">
        <v>0.251</v>
      </c>
      <c r="D76" s="56">
        <v>0.16500000000000001</v>
      </c>
      <c r="E76" s="57">
        <v>549817440</v>
      </c>
      <c r="F76" s="57">
        <v>639236163</v>
      </c>
      <c r="G76" s="57">
        <f t="shared" si="7"/>
        <v>121739.07216750001</v>
      </c>
      <c r="H76" s="57">
        <v>1977996</v>
      </c>
      <c r="I76" s="58">
        <v>6</v>
      </c>
      <c r="J76" s="58">
        <v>359</v>
      </c>
      <c r="K76" s="93" t="s">
        <v>0</v>
      </c>
      <c r="L76" s="84">
        <f t="shared" si="5"/>
        <v>13.192499999999999</v>
      </c>
      <c r="M76" s="87">
        <f t="shared" si="6"/>
        <v>27.212431305666101</v>
      </c>
      <c r="N76" s="106">
        <v>2239653.8999431496</v>
      </c>
      <c r="O76" s="111">
        <v>370.88</v>
      </c>
      <c r="P76" s="111">
        <v>363</v>
      </c>
      <c r="Q76" s="111">
        <v>359</v>
      </c>
    </row>
    <row r="77" spans="1:17" s="58" customFormat="1" ht="15" customHeight="1" x14ac:dyDescent="0.35">
      <c r="A77" s="54">
        <v>2002</v>
      </c>
      <c r="B77" s="55" t="s">
        <v>121</v>
      </c>
      <c r="C77" s="56">
        <v>0.3</v>
      </c>
      <c r="D77" s="56">
        <v>0.3</v>
      </c>
      <c r="E77" s="57">
        <v>1020425628</v>
      </c>
      <c r="F77" s="57">
        <v>1107814281</v>
      </c>
      <c r="G77" s="57">
        <f t="shared" si="7"/>
        <v>319235.98635000002</v>
      </c>
      <c r="H77" s="73">
        <f>12711987-11733</f>
        <v>12700254</v>
      </c>
      <c r="I77" s="58">
        <v>530</v>
      </c>
      <c r="J77" s="58">
        <v>2471.7399999999998</v>
      </c>
      <c r="K77" s="93" t="s">
        <v>0</v>
      </c>
      <c r="L77" s="84">
        <f t="shared" si="5"/>
        <v>15</v>
      </c>
      <c r="M77" s="87">
        <f t="shared" si="6"/>
        <v>164.78266666666664</v>
      </c>
      <c r="N77" s="106">
        <v>14229593.402399998</v>
      </c>
      <c r="O77" s="111">
        <v>2304.5</v>
      </c>
      <c r="P77" s="111">
        <v>2402.19</v>
      </c>
      <c r="Q77" s="111">
        <v>2471.7399999999998</v>
      </c>
    </row>
    <row r="78" spans="1:17" s="58" customFormat="1" ht="15" customHeight="1" x14ac:dyDescent="0.35">
      <c r="A78" s="59">
        <v>22006</v>
      </c>
      <c r="B78" s="55" t="s">
        <v>155</v>
      </c>
      <c r="C78" s="56">
        <v>0.255</v>
      </c>
      <c r="D78" s="56">
        <v>0.152</v>
      </c>
      <c r="E78" s="57">
        <v>493883758</v>
      </c>
      <c r="F78" s="57">
        <v>596312920</v>
      </c>
      <c r="G78" s="57">
        <f t="shared" si="7"/>
        <v>108289.961065</v>
      </c>
      <c r="H78" s="57">
        <v>2062398</v>
      </c>
      <c r="I78" s="58">
        <v>20</v>
      </c>
      <c r="J78" s="58">
        <v>381.7</v>
      </c>
      <c r="K78" s="93" t="s">
        <v>0</v>
      </c>
      <c r="L78" s="84">
        <f t="shared" si="5"/>
        <v>13.36275</v>
      </c>
      <c r="M78" s="87">
        <f t="shared" si="6"/>
        <v>28.564479616845333</v>
      </c>
      <c r="N78" s="106">
        <v>2371816.4303754838</v>
      </c>
      <c r="O78" s="111">
        <v>376.28</v>
      </c>
      <c r="P78" s="111">
        <v>369.04</v>
      </c>
      <c r="Q78" s="111">
        <v>381.7</v>
      </c>
    </row>
    <row r="79" spans="1:17" s="58" customFormat="1" ht="15" customHeight="1" x14ac:dyDescent="0.35">
      <c r="A79" s="59">
        <v>13003</v>
      </c>
      <c r="B79" s="55" t="s">
        <v>105</v>
      </c>
      <c r="C79" s="56">
        <v>0.26600000000000001</v>
      </c>
      <c r="D79" s="56">
        <v>0.3</v>
      </c>
      <c r="E79" s="57">
        <v>370715189</v>
      </c>
      <c r="F79" s="57">
        <v>414329154</v>
      </c>
      <c r="G79" s="57">
        <f t="shared" si="7"/>
        <v>111454.49323699999</v>
      </c>
      <c r="H79" s="57">
        <v>1600563</v>
      </c>
      <c r="I79" s="58">
        <v>0</v>
      </c>
      <c r="J79" s="58">
        <v>289.14999999999998</v>
      </c>
      <c r="K79" s="93" t="s">
        <v>0</v>
      </c>
      <c r="L79" s="84">
        <f t="shared" si="5"/>
        <v>12.668624999999999</v>
      </c>
      <c r="M79" s="87">
        <f t="shared" si="6"/>
        <v>22.824102852519513</v>
      </c>
      <c r="N79" s="106">
        <v>1870666.8934079269</v>
      </c>
      <c r="O79" s="111">
        <v>286</v>
      </c>
      <c r="P79" s="111">
        <v>278</v>
      </c>
      <c r="Q79" s="111">
        <v>289.14999999999998</v>
      </c>
    </row>
    <row r="80" spans="1:17" s="58" customFormat="1" ht="15" customHeight="1" x14ac:dyDescent="0.35">
      <c r="A80" s="54">
        <v>2003</v>
      </c>
      <c r="B80" s="55" t="s">
        <v>29</v>
      </c>
      <c r="C80" s="56">
        <v>0.18</v>
      </c>
      <c r="D80" s="56">
        <v>0.2</v>
      </c>
      <c r="E80" s="57">
        <v>357336074</v>
      </c>
      <c r="F80" s="57">
        <v>425302131</v>
      </c>
      <c r="G80" s="57">
        <f t="shared" si="7"/>
        <v>74690.459760000012</v>
      </c>
      <c r="H80" s="57">
        <v>1262885</v>
      </c>
      <c r="I80" s="58">
        <v>2</v>
      </c>
      <c r="J80" s="58">
        <v>217</v>
      </c>
      <c r="K80" s="93" t="s">
        <v>0</v>
      </c>
      <c r="L80" s="84">
        <f t="shared" si="5"/>
        <v>12.1275</v>
      </c>
      <c r="M80" s="87">
        <f t="shared" si="6"/>
        <v>17.893217893217894</v>
      </c>
      <c r="N80" s="106">
        <v>1469909.9257884973</v>
      </c>
      <c r="O80" s="111">
        <v>228</v>
      </c>
      <c r="P80" s="111">
        <v>216</v>
      </c>
      <c r="Q80" s="111">
        <v>217</v>
      </c>
    </row>
    <row r="81" spans="1:17" s="58" customFormat="1" ht="15" customHeight="1" x14ac:dyDescent="0.35">
      <c r="A81" s="54">
        <v>37003</v>
      </c>
      <c r="B81" s="55" t="s">
        <v>35</v>
      </c>
      <c r="C81" s="56">
        <v>0.13500000000000001</v>
      </c>
      <c r="D81" s="56">
        <v>0.123</v>
      </c>
      <c r="E81" s="57">
        <v>260779704</v>
      </c>
      <c r="F81" s="57">
        <v>286104239</v>
      </c>
      <c r="G81" s="57">
        <f t="shared" si="7"/>
        <v>35198.0407185</v>
      </c>
      <c r="H81" s="57">
        <v>1077387</v>
      </c>
      <c r="I81" s="58">
        <v>1</v>
      </c>
      <c r="J81" s="58">
        <v>188</v>
      </c>
      <c r="K81" s="93" t="s">
        <v>0</v>
      </c>
      <c r="L81" s="84">
        <f t="shared" si="5"/>
        <v>12</v>
      </c>
      <c r="M81" s="87">
        <f t="shared" si="6"/>
        <v>15.666666666666666</v>
      </c>
      <c r="N81" s="106">
        <v>1285749.8531249999</v>
      </c>
      <c r="O81" s="111">
        <v>191</v>
      </c>
      <c r="P81" s="111">
        <v>178</v>
      </c>
      <c r="Q81" s="111">
        <v>188</v>
      </c>
    </row>
    <row r="82" spans="1:17" s="58" customFormat="1" ht="15" customHeight="1" x14ac:dyDescent="0.35">
      <c r="A82" s="59">
        <v>35002</v>
      </c>
      <c r="B82" s="55" t="s">
        <v>27</v>
      </c>
      <c r="C82" s="56">
        <v>0.26800000000000002</v>
      </c>
      <c r="D82" s="56">
        <v>0.3</v>
      </c>
      <c r="E82" s="57">
        <v>267469362</v>
      </c>
      <c r="F82" s="57">
        <v>313683288</v>
      </c>
      <c r="G82" s="57">
        <f t="shared" si="7"/>
        <v>82893.387708000009</v>
      </c>
      <c r="H82" s="57">
        <v>1961763</v>
      </c>
      <c r="I82" s="58">
        <v>0</v>
      </c>
      <c r="J82" s="58">
        <v>361</v>
      </c>
      <c r="K82" s="93" t="s">
        <v>0</v>
      </c>
      <c r="L82" s="84">
        <f t="shared" si="5"/>
        <v>13.2075</v>
      </c>
      <c r="M82" s="87">
        <f t="shared" si="6"/>
        <v>27.332954760552717</v>
      </c>
      <c r="N82" s="106">
        <v>2240213.0721181147</v>
      </c>
      <c r="O82" s="111">
        <v>362</v>
      </c>
      <c r="P82" s="111">
        <v>368</v>
      </c>
      <c r="Q82" s="111">
        <v>361</v>
      </c>
    </row>
    <row r="83" spans="1:17" s="58" customFormat="1" ht="15" customHeight="1" x14ac:dyDescent="0.35">
      <c r="A83" s="54">
        <v>7002</v>
      </c>
      <c r="B83" s="55" t="s">
        <v>75</v>
      </c>
      <c r="C83" s="56">
        <v>0.185</v>
      </c>
      <c r="D83" s="56">
        <v>0.21</v>
      </c>
      <c r="E83" s="57">
        <v>329630532</v>
      </c>
      <c r="F83" s="57">
        <v>395882467</v>
      </c>
      <c r="G83" s="57">
        <f t="shared" si="7"/>
        <v>72058.48324500001</v>
      </c>
      <c r="H83" s="57">
        <v>1695074</v>
      </c>
      <c r="I83" s="58">
        <v>6</v>
      </c>
      <c r="J83" s="58">
        <v>307</v>
      </c>
      <c r="K83" s="93" t="s">
        <v>0</v>
      </c>
      <c r="L83" s="84">
        <f t="shared" si="5"/>
        <v>12.8025</v>
      </c>
      <c r="M83" s="87">
        <f t="shared" si="6"/>
        <v>23.979691466510445</v>
      </c>
      <c r="N83" s="106">
        <v>1974981.9390743992</v>
      </c>
      <c r="O83" s="111">
        <v>293</v>
      </c>
      <c r="P83" s="111">
        <v>293.5</v>
      </c>
      <c r="Q83" s="111">
        <v>307</v>
      </c>
    </row>
    <row r="84" spans="1:17" s="58" customFormat="1" ht="15" customHeight="1" x14ac:dyDescent="0.35">
      <c r="A84" s="54">
        <v>38003</v>
      </c>
      <c r="B84" s="55" t="s">
        <v>103</v>
      </c>
      <c r="C84" s="56">
        <v>0.255</v>
      </c>
      <c r="D84" s="56">
        <v>0.3</v>
      </c>
      <c r="E84" s="57">
        <v>220692877</v>
      </c>
      <c r="F84" s="57">
        <v>261280082</v>
      </c>
      <c r="G84" s="57">
        <f t="shared" si="7"/>
        <v>67330.354117499999</v>
      </c>
      <c r="H84" s="57">
        <v>938785</v>
      </c>
      <c r="I84" s="58">
        <v>0</v>
      </c>
      <c r="J84" s="58">
        <v>162</v>
      </c>
      <c r="K84" s="93" t="s">
        <v>0</v>
      </c>
      <c r="L84" s="84">
        <f t="shared" si="5"/>
        <v>12</v>
      </c>
      <c r="M84" s="87">
        <f t="shared" si="6"/>
        <v>13.5</v>
      </c>
      <c r="N84" s="106">
        <v>1106462.0249999999</v>
      </c>
      <c r="O84" s="111">
        <v>165</v>
      </c>
      <c r="P84" s="111">
        <v>163</v>
      </c>
      <c r="Q84" s="111">
        <v>162</v>
      </c>
    </row>
    <row r="85" spans="1:17" s="58" customFormat="1" ht="15" customHeight="1" thickBot="1" x14ac:dyDescent="0.4">
      <c r="A85" s="54">
        <v>45005</v>
      </c>
      <c r="B85" s="55" t="s">
        <v>73</v>
      </c>
      <c r="C85" s="56"/>
      <c r="D85" s="56">
        <v>0.3</v>
      </c>
      <c r="E85" s="57">
        <v>359843903</v>
      </c>
      <c r="F85" s="57">
        <v>424819028</v>
      </c>
      <c r="G85" s="57">
        <f t="shared" si="7"/>
        <v>63722.854199999994</v>
      </c>
      <c r="H85" s="57">
        <v>1245680</v>
      </c>
      <c r="I85" s="58">
        <v>5</v>
      </c>
      <c r="J85" s="58">
        <v>218</v>
      </c>
      <c r="K85" s="93" t="s">
        <v>0</v>
      </c>
      <c r="L85" s="84">
        <f t="shared" si="5"/>
        <v>12.135</v>
      </c>
      <c r="M85" s="87">
        <f t="shared" si="6"/>
        <v>17.96456530696333</v>
      </c>
      <c r="N85" s="106">
        <v>1480821.0043263289</v>
      </c>
      <c r="O85" s="111">
        <v>215</v>
      </c>
      <c r="P85" s="111">
        <v>202</v>
      </c>
      <c r="Q85" s="111">
        <v>218</v>
      </c>
    </row>
    <row r="86" spans="1:17" s="58" customFormat="1" ht="15" customHeight="1" x14ac:dyDescent="0.4">
      <c r="A86" s="54">
        <v>40001</v>
      </c>
      <c r="B86" s="55" t="s">
        <v>86</v>
      </c>
      <c r="C86" s="56">
        <v>0.3</v>
      </c>
      <c r="D86" s="56">
        <v>0.3</v>
      </c>
      <c r="E86" s="57">
        <v>803825222</v>
      </c>
      <c r="F86" s="57">
        <v>842568922</v>
      </c>
      <c r="G86" s="57">
        <f t="shared" si="7"/>
        <v>246959.12159999998</v>
      </c>
      <c r="H86" s="57">
        <v>3734574</v>
      </c>
      <c r="I86" s="58">
        <v>10</v>
      </c>
      <c r="J86" s="58">
        <v>763.29</v>
      </c>
      <c r="K86" s="105" t="str">
        <f>K75</f>
        <v>Note: This district's local effort exceeded total need in FY2016 and will exceed total need in FY2017 and therefore the district is not subject to accountability requirements.  This district will receive no new state aid, as it already exceeds formula funding received by other districts.</v>
      </c>
      <c r="L86" s="84">
        <f t="shared" si="5"/>
        <v>15</v>
      </c>
      <c r="M86" s="87">
        <f t="shared" si="6"/>
        <v>50.885999999999996</v>
      </c>
      <c r="N86" s="106">
        <v>4184284.2178999991</v>
      </c>
      <c r="O86" s="111">
        <v>784.53</v>
      </c>
      <c r="P86" s="111">
        <v>740.28</v>
      </c>
      <c r="Q86" s="111">
        <v>763.29</v>
      </c>
    </row>
    <row r="87" spans="1:17" s="58" customFormat="1" ht="15" customHeight="1" x14ac:dyDescent="0.35">
      <c r="A87" s="54">
        <v>52004</v>
      </c>
      <c r="B87" s="55" t="s">
        <v>54</v>
      </c>
      <c r="C87" s="56">
        <v>0.245</v>
      </c>
      <c r="D87" s="56">
        <v>0.3</v>
      </c>
      <c r="E87" s="57">
        <v>260599059</v>
      </c>
      <c r="F87" s="57">
        <v>318470689</v>
      </c>
      <c r="G87" s="57">
        <f t="shared" si="7"/>
        <v>79693.988077500006</v>
      </c>
      <c r="H87" s="57">
        <v>1522355</v>
      </c>
      <c r="I87" s="58">
        <v>0</v>
      </c>
      <c r="J87" s="58">
        <v>273.37</v>
      </c>
      <c r="K87" s="93" t="s">
        <v>0</v>
      </c>
      <c r="L87" s="84">
        <f t="shared" si="5"/>
        <v>12.550274999999999</v>
      </c>
      <c r="M87" s="87">
        <f t="shared" si="6"/>
        <v>21.78199282485842</v>
      </c>
      <c r="N87" s="106">
        <v>1785255.39922432</v>
      </c>
      <c r="O87" s="111">
        <v>244.33</v>
      </c>
      <c r="P87" s="111">
        <v>266.61</v>
      </c>
      <c r="Q87" s="111">
        <v>273.37</v>
      </c>
    </row>
    <row r="88" spans="1:17" s="58" customFormat="1" ht="15" customHeight="1" x14ac:dyDescent="0.35">
      <c r="A88" s="54">
        <v>41004</v>
      </c>
      <c r="B88" s="55" t="s">
        <v>38</v>
      </c>
      <c r="C88" s="56">
        <v>0.3</v>
      </c>
      <c r="D88" s="56">
        <v>0.3</v>
      </c>
      <c r="E88" s="57">
        <v>500935028</v>
      </c>
      <c r="F88" s="57">
        <v>560707477</v>
      </c>
      <c r="G88" s="57">
        <f t="shared" si="7"/>
        <v>159246.37575000001</v>
      </c>
      <c r="H88" s="57">
        <v>5118208</v>
      </c>
      <c r="I88" s="58">
        <v>0</v>
      </c>
      <c r="J88" s="58">
        <v>1049.51</v>
      </c>
      <c r="K88" s="93" t="s">
        <v>0</v>
      </c>
      <c r="L88" s="84">
        <f t="shared" si="5"/>
        <v>15</v>
      </c>
      <c r="M88" s="87">
        <f t="shared" si="6"/>
        <v>69.967333333333329</v>
      </c>
      <c r="N88" s="106">
        <v>5734533.1350999996</v>
      </c>
      <c r="O88" s="111">
        <v>1032</v>
      </c>
      <c r="P88" s="111">
        <v>1044</v>
      </c>
      <c r="Q88" s="111">
        <v>1049.51</v>
      </c>
    </row>
    <row r="89" spans="1:17" s="58" customFormat="1" ht="15" customHeight="1" x14ac:dyDescent="0.35">
      <c r="A89" s="54">
        <v>44002</v>
      </c>
      <c r="B89" s="55" t="s">
        <v>107</v>
      </c>
      <c r="C89" s="56">
        <v>0.26500000000000001</v>
      </c>
      <c r="D89" s="56">
        <v>0.3</v>
      </c>
      <c r="E89" s="57">
        <v>311242546</v>
      </c>
      <c r="F89" s="57">
        <v>347564033</v>
      </c>
      <c r="G89" s="57">
        <f t="shared" si="7"/>
        <v>93374.242294999989</v>
      </c>
      <c r="H89" s="57">
        <v>1156576</v>
      </c>
      <c r="I89" s="58">
        <v>19</v>
      </c>
      <c r="J89" s="58">
        <v>196</v>
      </c>
      <c r="K89" s="93" t="s">
        <v>0</v>
      </c>
      <c r="L89" s="84">
        <f t="shared" si="5"/>
        <v>12</v>
      </c>
      <c r="M89" s="87">
        <f t="shared" si="6"/>
        <v>16.333333333333332</v>
      </c>
      <c r="N89" s="106">
        <v>1371125.0093749999</v>
      </c>
      <c r="O89" s="111">
        <v>213</v>
      </c>
      <c r="P89" s="111">
        <v>183</v>
      </c>
      <c r="Q89" s="111">
        <v>196</v>
      </c>
    </row>
    <row r="90" spans="1:17" s="58" customFormat="1" ht="15" customHeight="1" x14ac:dyDescent="0.35">
      <c r="A90" s="54">
        <v>42001</v>
      </c>
      <c r="B90" s="55" t="s">
        <v>76</v>
      </c>
      <c r="C90" s="56">
        <v>0.25800000000000001</v>
      </c>
      <c r="D90" s="56">
        <v>0.3</v>
      </c>
      <c r="E90" s="57">
        <v>440810624</v>
      </c>
      <c r="F90" s="57">
        <v>525935485</v>
      </c>
      <c r="G90" s="57">
        <f t="shared" si="7"/>
        <v>135754.89324599999</v>
      </c>
      <c r="H90" s="57">
        <v>2117986</v>
      </c>
      <c r="I90" s="58">
        <v>0</v>
      </c>
      <c r="J90" s="58">
        <v>388</v>
      </c>
      <c r="K90" s="93" t="s">
        <v>0</v>
      </c>
      <c r="L90" s="84">
        <f t="shared" si="5"/>
        <v>13.41</v>
      </c>
      <c r="M90" s="87">
        <f t="shared" si="6"/>
        <v>28.933631618195378</v>
      </c>
      <c r="N90" s="106">
        <v>2371404.7874720357</v>
      </c>
      <c r="O90" s="111">
        <v>401</v>
      </c>
      <c r="P90" s="111">
        <v>398</v>
      </c>
      <c r="Q90" s="111">
        <v>388</v>
      </c>
    </row>
    <row r="91" spans="1:17" s="58" customFormat="1" ht="15" customHeight="1" x14ac:dyDescent="0.35">
      <c r="A91" s="54">
        <v>39002</v>
      </c>
      <c r="B91" s="55" t="s">
        <v>156</v>
      </c>
      <c r="C91" s="56">
        <v>0.3</v>
      </c>
      <c r="D91" s="56">
        <v>0.3</v>
      </c>
      <c r="E91" s="57">
        <v>709911819</v>
      </c>
      <c r="F91" s="57">
        <v>772498202</v>
      </c>
      <c r="G91" s="57">
        <f t="shared" si="7"/>
        <v>222361.50314999997</v>
      </c>
      <c r="H91" s="57">
        <v>5662357</v>
      </c>
      <c r="I91" s="58">
        <v>1</v>
      </c>
      <c r="J91" s="58">
        <v>1160.8399999999999</v>
      </c>
      <c r="K91" s="93" t="s">
        <v>0</v>
      </c>
      <c r="L91" s="84">
        <f t="shared" si="5"/>
        <v>15</v>
      </c>
      <c r="M91" s="87">
        <f t="shared" si="6"/>
        <v>77.389333333333326</v>
      </c>
      <c r="N91" s="106">
        <v>6344207.3708999995</v>
      </c>
      <c r="O91" s="111">
        <v>1138.68</v>
      </c>
      <c r="P91" s="111">
        <v>1131.8699999999999</v>
      </c>
      <c r="Q91" s="111">
        <v>1160.8399999999999</v>
      </c>
    </row>
    <row r="92" spans="1:17" s="58" customFormat="1" ht="15" customHeight="1" x14ac:dyDescent="0.35">
      <c r="A92" s="54">
        <v>60003</v>
      </c>
      <c r="B92" s="55" t="s">
        <v>92</v>
      </c>
      <c r="C92" s="56">
        <v>0.29699999999999999</v>
      </c>
      <c r="D92" s="56">
        <v>0.3</v>
      </c>
      <c r="E92" s="57">
        <v>176986811</v>
      </c>
      <c r="F92" s="57">
        <v>203720332</v>
      </c>
      <c r="G92" s="57">
        <f t="shared" si="7"/>
        <v>56840.591233499996</v>
      </c>
      <c r="H92" s="57">
        <v>1095779</v>
      </c>
      <c r="I92" s="58">
        <v>2</v>
      </c>
      <c r="J92" s="58">
        <v>191</v>
      </c>
      <c r="K92" s="93" t="s">
        <v>0</v>
      </c>
      <c r="L92" s="84">
        <f t="shared" si="5"/>
        <v>12</v>
      </c>
      <c r="M92" s="87">
        <f t="shared" si="6"/>
        <v>15.916666666666666</v>
      </c>
      <c r="N92" s="106">
        <v>1307947.3937499998</v>
      </c>
      <c r="O92" s="111">
        <v>178</v>
      </c>
      <c r="P92" s="111">
        <v>195</v>
      </c>
      <c r="Q92" s="111">
        <v>191</v>
      </c>
    </row>
    <row r="93" spans="1:17" s="58" customFormat="1" ht="15" customHeight="1" x14ac:dyDescent="0.35">
      <c r="A93" s="54">
        <v>43007</v>
      </c>
      <c r="B93" s="55" t="s">
        <v>157</v>
      </c>
      <c r="C93" s="56">
        <v>0.1</v>
      </c>
      <c r="D93" s="56">
        <v>0.3</v>
      </c>
      <c r="E93" s="57">
        <v>318760382</v>
      </c>
      <c r="F93" s="57">
        <v>352389902</v>
      </c>
      <c r="G93" s="57">
        <f t="shared" si="7"/>
        <v>68796.504400000005</v>
      </c>
      <c r="H93" s="57">
        <v>1948907</v>
      </c>
      <c r="I93" s="58">
        <v>10</v>
      </c>
      <c r="J93" s="58">
        <v>359.57</v>
      </c>
      <c r="K93" s="93" t="s">
        <v>0</v>
      </c>
      <c r="L93" s="84">
        <f t="shared" si="5"/>
        <v>13.196774999999999</v>
      </c>
      <c r="M93" s="87">
        <f t="shared" si="6"/>
        <v>27.24680840584158</v>
      </c>
      <c r="N93" s="106">
        <v>2248679.0530641009</v>
      </c>
      <c r="O93" s="111">
        <v>357.53</v>
      </c>
      <c r="P93" s="111">
        <v>356.92</v>
      </c>
      <c r="Q93" s="111">
        <v>359.57</v>
      </c>
    </row>
    <row r="94" spans="1:17" s="58" customFormat="1" ht="15" customHeight="1" x14ac:dyDescent="0.35">
      <c r="A94" s="54">
        <v>15001</v>
      </c>
      <c r="B94" s="55" t="s">
        <v>158</v>
      </c>
      <c r="C94" s="56">
        <v>0.24199999999999999</v>
      </c>
      <c r="D94" s="56">
        <v>0.3</v>
      </c>
      <c r="E94" s="57">
        <v>87700664</v>
      </c>
      <c r="F94" s="57">
        <v>103292692</v>
      </c>
      <c r="G94" s="57">
        <f t="shared" si="7"/>
        <v>26105.684144000003</v>
      </c>
      <c r="H94" s="57">
        <v>935923</v>
      </c>
      <c r="I94" s="58">
        <v>0</v>
      </c>
      <c r="J94" s="58">
        <v>152</v>
      </c>
      <c r="K94" s="93" t="s">
        <v>0</v>
      </c>
      <c r="L94" s="84">
        <f t="shared" si="5"/>
        <v>12</v>
      </c>
      <c r="M94" s="87">
        <f t="shared" si="6"/>
        <v>12.666666666666666</v>
      </c>
      <c r="N94" s="106">
        <v>1038161.9</v>
      </c>
      <c r="O94" s="111">
        <v>171</v>
      </c>
      <c r="P94" s="111">
        <v>156</v>
      </c>
      <c r="Q94" s="111">
        <v>152</v>
      </c>
    </row>
    <row r="95" spans="1:17" s="58" customFormat="1" ht="15" customHeight="1" x14ac:dyDescent="0.35">
      <c r="A95" s="54">
        <v>15002</v>
      </c>
      <c r="B95" s="55" t="s">
        <v>159</v>
      </c>
      <c r="C95" s="56"/>
      <c r="D95" s="56">
        <v>0</v>
      </c>
      <c r="E95" s="57">
        <v>95297951</v>
      </c>
      <c r="F95" s="57">
        <v>112585469</v>
      </c>
      <c r="G95" s="57">
        <f t="shared" si="7"/>
        <v>0</v>
      </c>
      <c r="H95" s="57">
        <v>2480532</v>
      </c>
      <c r="I95" s="58">
        <v>1</v>
      </c>
      <c r="J95" s="58">
        <v>465</v>
      </c>
      <c r="K95" s="93" t="s">
        <v>0</v>
      </c>
      <c r="L95" s="84">
        <f t="shared" si="5"/>
        <v>13.987500000000001</v>
      </c>
      <c r="M95" s="87">
        <f t="shared" si="6"/>
        <v>33.243967828418228</v>
      </c>
      <c r="N95" s="106">
        <v>2726145.4718498653</v>
      </c>
      <c r="O95" s="111">
        <v>482</v>
      </c>
      <c r="P95" s="111">
        <v>486</v>
      </c>
      <c r="Q95" s="111">
        <v>465</v>
      </c>
    </row>
    <row r="96" spans="1:17" s="58" customFormat="1" ht="15" customHeight="1" x14ac:dyDescent="0.35">
      <c r="A96" s="54">
        <v>46001</v>
      </c>
      <c r="B96" s="55" t="s">
        <v>139</v>
      </c>
      <c r="C96" s="56">
        <v>0.3</v>
      </c>
      <c r="D96" s="56">
        <v>0.3</v>
      </c>
      <c r="E96" s="57">
        <v>1600505276</v>
      </c>
      <c r="F96" s="57">
        <v>1709385321</v>
      </c>
      <c r="G96" s="57">
        <f t="shared" si="7"/>
        <v>496483.58954999998</v>
      </c>
      <c r="H96" s="57">
        <v>13078300</v>
      </c>
      <c r="I96" s="58">
        <v>0</v>
      </c>
      <c r="J96" s="58">
        <v>2681.76</v>
      </c>
      <c r="K96" s="93" t="s">
        <v>0</v>
      </c>
      <c r="L96" s="84">
        <f t="shared" si="5"/>
        <v>15</v>
      </c>
      <c r="M96" s="87">
        <f t="shared" si="6"/>
        <v>178.78400000000002</v>
      </c>
      <c r="N96" s="106">
        <v>14653163.457600001</v>
      </c>
      <c r="O96" s="111">
        <v>2653.25</v>
      </c>
      <c r="P96" s="111">
        <v>2642</v>
      </c>
      <c r="Q96" s="111">
        <v>2681.76</v>
      </c>
    </row>
    <row r="97" spans="1:17" s="58" customFormat="1" ht="15" customHeight="1" x14ac:dyDescent="0.35">
      <c r="A97" s="54">
        <v>33002</v>
      </c>
      <c r="B97" s="55" t="s">
        <v>91</v>
      </c>
      <c r="C97" s="56">
        <v>0.3</v>
      </c>
      <c r="D97" s="56">
        <v>0.3</v>
      </c>
      <c r="E97" s="57">
        <v>224452079</v>
      </c>
      <c r="F97" s="57">
        <v>256930435</v>
      </c>
      <c r="G97" s="57">
        <f t="shared" si="7"/>
        <v>72207.377099999998</v>
      </c>
      <c r="H97" s="57">
        <v>1581144</v>
      </c>
      <c r="I97" s="58">
        <v>11</v>
      </c>
      <c r="J97" s="58">
        <v>281</v>
      </c>
      <c r="K97" s="93" t="s">
        <v>0</v>
      </c>
      <c r="L97" s="84">
        <f t="shared" si="5"/>
        <v>12.6075</v>
      </c>
      <c r="M97" s="87">
        <f t="shared" si="6"/>
        <v>22.288320444180052</v>
      </c>
      <c r="N97" s="106">
        <v>1844631.5734681739</v>
      </c>
      <c r="O97" s="111">
        <v>282</v>
      </c>
      <c r="P97" s="111">
        <v>283</v>
      </c>
      <c r="Q97" s="111">
        <v>281</v>
      </c>
    </row>
    <row r="98" spans="1:17" s="58" customFormat="1" ht="15" customHeight="1" x14ac:dyDescent="0.35">
      <c r="A98" s="54">
        <v>25004</v>
      </c>
      <c r="B98" s="55" t="s">
        <v>142</v>
      </c>
      <c r="C98" s="56">
        <v>0.3</v>
      </c>
      <c r="D98" s="56">
        <v>0.3</v>
      </c>
      <c r="E98" s="57">
        <v>571968534</v>
      </c>
      <c r="F98" s="57">
        <v>625994118</v>
      </c>
      <c r="G98" s="57">
        <f t="shared" si="7"/>
        <v>179694.39780000001</v>
      </c>
      <c r="H98" s="57">
        <v>4447848</v>
      </c>
      <c r="I98" s="58">
        <v>13</v>
      </c>
      <c r="J98" s="58">
        <v>908.8</v>
      </c>
      <c r="K98" s="93" t="s">
        <v>0</v>
      </c>
      <c r="L98" s="84">
        <f t="shared" si="5"/>
        <v>15</v>
      </c>
      <c r="M98" s="87">
        <f t="shared" si="6"/>
        <v>60.586666666666666</v>
      </c>
      <c r="N98" s="106">
        <v>4983450.3205000004</v>
      </c>
      <c r="O98" s="111">
        <v>893.39</v>
      </c>
      <c r="P98" s="111">
        <v>909.49</v>
      </c>
      <c r="Q98" s="111">
        <v>908.8</v>
      </c>
    </row>
    <row r="99" spans="1:17" s="58" customFormat="1" ht="15" customHeight="1" x14ac:dyDescent="0.35">
      <c r="A99" s="61">
        <v>29004</v>
      </c>
      <c r="B99" s="58" t="s">
        <v>104</v>
      </c>
      <c r="C99" s="56">
        <v>0.2</v>
      </c>
      <c r="D99" s="56">
        <v>0.22</v>
      </c>
      <c r="E99" s="57">
        <v>875706545</v>
      </c>
      <c r="F99" s="57">
        <v>1023013201</v>
      </c>
      <c r="G99" s="57">
        <f t="shared" si="7"/>
        <v>200102.10661000002</v>
      </c>
      <c r="H99" s="57">
        <v>2367444</v>
      </c>
      <c r="I99" s="58">
        <v>0</v>
      </c>
      <c r="J99" s="58">
        <v>457.07</v>
      </c>
      <c r="K99" s="93" t="s">
        <v>0</v>
      </c>
      <c r="L99" s="84">
        <f t="shared" ref="L99:L130" si="8">IF(J99&lt;200,12,IF(J99&gt;600,15,(J99*0.0075)+10.5))</f>
        <v>13.928025</v>
      </c>
      <c r="M99" s="87">
        <f t="shared" ref="M99:M110" si="9">J99/L99</f>
        <v>32.816569470545893</v>
      </c>
      <c r="N99" s="106">
        <v>2689650.9562913617</v>
      </c>
      <c r="O99" s="111">
        <v>450.06</v>
      </c>
      <c r="P99" s="111">
        <v>451.44</v>
      </c>
      <c r="Q99" s="111">
        <v>457.07</v>
      </c>
    </row>
    <row r="100" spans="1:17" s="58" customFormat="1" ht="15" customHeight="1" x14ac:dyDescent="0.35">
      <c r="A100" s="54">
        <v>17002</v>
      </c>
      <c r="B100" s="55" t="s">
        <v>120</v>
      </c>
      <c r="C100" s="56">
        <v>0.3</v>
      </c>
      <c r="D100" s="56">
        <v>0.3</v>
      </c>
      <c r="E100" s="57">
        <v>1191363920</v>
      </c>
      <c r="F100" s="57">
        <v>1251903699</v>
      </c>
      <c r="G100" s="57">
        <f t="shared" si="7"/>
        <v>366490.14285</v>
      </c>
      <c r="H100" s="57">
        <v>13605185</v>
      </c>
      <c r="I100" s="58">
        <v>19</v>
      </c>
      <c r="J100" s="58">
        <v>2785.05</v>
      </c>
      <c r="K100" s="93" t="s">
        <v>0</v>
      </c>
      <c r="L100" s="84">
        <f t="shared" si="8"/>
        <v>15</v>
      </c>
      <c r="M100" s="87">
        <f t="shared" si="9"/>
        <v>185.67000000000002</v>
      </c>
      <c r="N100" s="106">
        <v>15243495.098000001</v>
      </c>
      <c r="O100" s="111">
        <v>2712.23</v>
      </c>
      <c r="P100" s="111">
        <v>2746.56</v>
      </c>
      <c r="Q100" s="111">
        <v>2785.05</v>
      </c>
    </row>
    <row r="101" spans="1:17" s="58" customFormat="1" ht="15" customHeight="1" x14ac:dyDescent="0.35">
      <c r="A101" s="54">
        <v>62006</v>
      </c>
      <c r="B101" s="55" t="s">
        <v>113</v>
      </c>
      <c r="C101" s="56">
        <v>0.27800000000000002</v>
      </c>
      <c r="D101" s="56">
        <v>0.27800000000000002</v>
      </c>
      <c r="E101" s="57">
        <v>239428705</v>
      </c>
      <c r="F101" s="57">
        <v>267372389</v>
      </c>
      <c r="G101" s="57">
        <f t="shared" si="7"/>
        <v>70445.352066000021</v>
      </c>
      <c r="H101" s="57">
        <v>3327218</v>
      </c>
      <c r="I101" s="58">
        <v>0</v>
      </c>
      <c r="J101" s="58">
        <v>682.26</v>
      </c>
      <c r="K101" s="93" t="s">
        <v>0</v>
      </c>
      <c r="L101" s="84">
        <f t="shared" si="8"/>
        <v>15</v>
      </c>
      <c r="M101" s="87">
        <f t="shared" si="9"/>
        <v>45.484000000000002</v>
      </c>
      <c r="N101" s="106">
        <v>3727875.4626000002</v>
      </c>
      <c r="O101" s="111">
        <v>655</v>
      </c>
      <c r="P101" s="111">
        <v>675.03</v>
      </c>
      <c r="Q101" s="111">
        <v>682.26</v>
      </c>
    </row>
    <row r="102" spans="1:17" s="58" customFormat="1" ht="15" customHeight="1" x14ac:dyDescent="0.35">
      <c r="A102" s="54">
        <v>43002</v>
      </c>
      <c r="B102" s="55" t="s">
        <v>72</v>
      </c>
      <c r="C102" s="56">
        <v>0.3</v>
      </c>
      <c r="D102" s="56">
        <v>0.3</v>
      </c>
      <c r="E102" s="57">
        <v>158693280</v>
      </c>
      <c r="F102" s="57">
        <v>173741436</v>
      </c>
      <c r="G102" s="57">
        <f t="shared" si="7"/>
        <v>49865.207399999999</v>
      </c>
      <c r="H102" s="57">
        <v>1358113</v>
      </c>
      <c r="I102" s="58">
        <v>8</v>
      </c>
      <c r="J102" s="58">
        <v>239</v>
      </c>
      <c r="K102" s="93" t="s">
        <v>0</v>
      </c>
      <c r="L102" s="84">
        <f t="shared" si="8"/>
        <v>12.2925</v>
      </c>
      <c r="M102" s="87">
        <f t="shared" si="9"/>
        <v>19.442749644091926</v>
      </c>
      <c r="N102" s="106">
        <v>1606865.6619890176</v>
      </c>
      <c r="O102" s="111">
        <v>225</v>
      </c>
      <c r="P102" s="111">
        <v>231</v>
      </c>
      <c r="Q102" s="111">
        <v>239</v>
      </c>
    </row>
    <row r="103" spans="1:17" s="58" customFormat="1" ht="15" customHeight="1" x14ac:dyDescent="0.35">
      <c r="A103" s="54">
        <v>17003</v>
      </c>
      <c r="B103" s="55" t="s">
        <v>74</v>
      </c>
      <c r="C103" s="56">
        <v>0.26600000000000001</v>
      </c>
      <c r="D103" s="56">
        <v>0.3</v>
      </c>
      <c r="E103" s="57">
        <v>197422161</v>
      </c>
      <c r="F103" s="57">
        <v>222520084</v>
      </c>
      <c r="G103" s="57">
        <f t="shared" si="7"/>
        <v>59635.160012999993</v>
      </c>
      <c r="H103" s="57">
        <v>1228074</v>
      </c>
      <c r="I103" s="58">
        <v>3</v>
      </c>
      <c r="J103" s="58">
        <v>205</v>
      </c>
      <c r="K103" s="93" t="s">
        <v>0</v>
      </c>
      <c r="L103" s="84">
        <f t="shared" si="8"/>
        <v>12.0375</v>
      </c>
      <c r="M103" s="87">
        <f t="shared" si="9"/>
        <v>17.030114226375908</v>
      </c>
      <c r="N103" s="106">
        <v>1400897.2679127725</v>
      </c>
      <c r="O103" s="111">
        <v>222.2</v>
      </c>
      <c r="P103" s="111">
        <v>208</v>
      </c>
      <c r="Q103" s="111">
        <v>205</v>
      </c>
    </row>
    <row r="104" spans="1:17" s="58" customFormat="1" ht="15" customHeight="1" x14ac:dyDescent="0.35">
      <c r="A104" s="54">
        <v>51003</v>
      </c>
      <c r="B104" s="55" t="s">
        <v>116</v>
      </c>
      <c r="C104" s="56">
        <v>0.3</v>
      </c>
      <c r="D104" s="56">
        <v>0.3</v>
      </c>
      <c r="E104" s="57">
        <v>102787572</v>
      </c>
      <c r="F104" s="57">
        <v>112957613</v>
      </c>
      <c r="G104" s="57">
        <f t="shared" si="7"/>
        <v>32361.777750000001</v>
      </c>
      <c r="H104" s="57">
        <v>1475416</v>
      </c>
      <c r="I104" s="58">
        <v>0</v>
      </c>
      <c r="J104" s="58">
        <v>258</v>
      </c>
      <c r="K104" s="93" t="s">
        <v>0</v>
      </c>
      <c r="L104" s="84">
        <f t="shared" si="8"/>
        <v>12.435</v>
      </c>
      <c r="M104" s="87">
        <f t="shared" si="9"/>
        <v>20.747889022919178</v>
      </c>
      <c r="N104" s="106">
        <v>1700500.0965018093</v>
      </c>
      <c r="O104" s="111">
        <v>263</v>
      </c>
      <c r="P104" s="111">
        <v>265</v>
      </c>
      <c r="Q104" s="111">
        <v>258</v>
      </c>
    </row>
    <row r="105" spans="1:17" s="58" customFormat="1" ht="15" customHeight="1" x14ac:dyDescent="0.35">
      <c r="A105" s="54">
        <v>9002</v>
      </c>
      <c r="B105" s="55" t="s">
        <v>138</v>
      </c>
      <c r="C105" s="56">
        <v>0.3</v>
      </c>
      <c r="D105" s="56">
        <v>0.3</v>
      </c>
      <c r="E105" s="57">
        <v>194631316</v>
      </c>
      <c r="F105" s="57">
        <v>224172413</v>
      </c>
      <c r="G105" s="57">
        <f t="shared" si="7"/>
        <v>62820.559349999996</v>
      </c>
      <c r="H105" s="57">
        <v>1790279</v>
      </c>
      <c r="I105" s="58">
        <v>0</v>
      </c>
      <c r="J105" s="58">
        <v>288.72000000000003</v>
      </c>
      <c r="K105" s="93" t="s">
        <v>0</v>
      </c>
      <c r="L105" s="84">
        <f t="shared" si="8"/>
        <v>12.6654</v>
      </c>
      <c r="M105" s="87">
        <f t="shared" si="9"/>
        <v>22.795963806907007</v>
      </c>
      <c r="N105" s="106">
        <v>1868360.6130086696</v>
      </c>
      <c r="O105" s="111">
        <v>325.7</v>
      </c>
      <c r="P105" s="111">
        <v>331</v>
      </c>
      <c r="Q105" s="111">
        <v>288.72000000000003</v>
      </c>
    </row>
    <row r="106" spans="1:17" s="58" customFormat="1" ht="15" customHeight="1" x14ac:dyDescent="0.35">
      <c r="A106" s="59">
        <v>56007</v>
      </c>
      <c r="B106" s="55" t="s">
        <v>69</v>
      </c>
      <c r="C106" s="56">
        <v>0.23599999999999999</v>
      </c>
      <c r="D106" s="56">
        <v>0.3</v>
      </c>
      <c r="E106" s="57">
        <v>580562062</v>
      </c>
      <c r="F106" s="57">
        <v>692848078</v>
      </c>
      <c r="G106" s="57">
        <f t="shared" si="7"/>
        <v>172433.53501600001</v>
      </c>
      <c r="H106" s="57">
        <v>1394404</v>
      </c>
      <c r="I106" s="58">
        <v>0</v>
      </c>
      <c r="J106" s="58">
        <v>243</v>
      </c>
      <c r="K106" s="93" t="s">
        <v>0</v>
      </c>
      <c r="L106" s="84">
        <f t="shared" si="8"/>
        <v>12.3225</v>
      </c>
      <c r="M106" s="87">
        <f t="shared" si="9"/>
        <v>19.720024345709071</v>
      </c>
      <c r="N106" s="106">
        <v>1616256.1533779672</v>
      </c>
      <c r="O106" s="111">
        <v>260</v>
      </c>
      <c r="P106" s="111">
        <v>236</v>
      </c>
      <c r="Q106" s="111">
        <v>243</v>
      </c>
    </row>
    <row r="107" spans="1:17" s="58" customFormat="1" ht="15" customHeight="1" x14ac:dyDescent="0.35">
      <c r="A107" s="62">
        <v>23003</v>
      </c>
      <c r="B107" s="63" t="s">
        <v>117</v>
      </c>
      <c r="C107" s="56"/>
      <c r="D107" s="56">
        <v>0</v>
      </c>
      <c r="E107" s="57">
        <v>47999261</v>
      </c>
      <c r="F107" s="57">
        <v>52891942</v>
      </c>
      <c r="G107" s="57">
        <f t="shared" si="7"/>
        <v>0</v>
      </c>
      <c r="H107" s="57">
        <v>672605</v>
      </c>
      <c r="I107" s="58">
        <v>0</v>
      </c>
      <c r="J107" s="58">
        <v>98</v>
      </c>
      <c r="K107" s="93" t="s">
        <v>0</v>
      </c>
      <c r="L107" s="84">
        <f t="shared" si="8"/>
        <v>12</v>
      </c>
      <c r="M107" s="87">
        <f t="shared" si="9"/>
        <v>8.1666666666666661</v>
      </c>
      <c r="N107" s="106">
        <v>669341.22499999986</v>
      </c>
      <c r="O107" s="111">
        <v>123</v>
      </c>
      <c r="P107" s="111">
        <v>112</v>
      </c>
      <c r="Q107" s="111">
        <v>98</v>
      </c>
    </row>
    <row r="108" spans="1:17" s="58" customFormat="1" ht="15" customHeight="1" x14ac:dyDescent="0.35">
      <c r="A108" s="62">
        <v>65001</v>
      </c>
      <c r="B108" s="63" t="s">
        <v>183</v>
      </c>
      <c r="C108" s="56">
        <v>0.3</v>
      </c>
      <c r="D108" s="56">
        <v>0.3</v>
      </c>
      <c r="E108" s="57">
        <v>34052546</v>
      </c>
      <c r="F108" s="57">
        <v>38159279</v>
      </c>
      <c r="G108" s="57">
        <f t="shared" si="7"/>
        <v>10831.77375</v>
      </c>
      <c r="H108" s="57">
        <v>7041700</v>
      </c>
      <c r="I108" s="58">
        <v>23</v>
      </c>
      <c r="J108" s="58">
        <v>1438.18</v>
      </c>
      <c r="K108" s="93" t="s">
        <v>0</v>
      </c>
      <c r="L108" s="84">
        <f t="shared" si="8"/>
        <v>15</v>
      </c>
      <c r="M108" s="87">
        <f t="shared" si="9"/>
        <v>95.878666666666675</v>
      </c>
      <c r="N108" s="106">
        <v>7889647.9593000021</v>
      </c>
      <c r="O108" s="111">
        <v>1391.42</v>
      </c>
      <c r="P108" s="111">
        <v>1373.18</v>
      </c>
      <c r="Q108" s="111">
        <v>1438.18</v>
      </c>
    </row>
    <row r="109" spans="1:17" s="58" customFormat="1" ht="15" customHeight="1" x14ac:dyDescent="0.35">
      <c r="A109" s="54">
        <v>39005</v>
      </c>
      <c r="B109" s="55" t="s">
        <v>109</v>
      </c>
      <c r="C109" s="56">
        <v>0.20399999999999999</v>
      </c>
      <c r="D109" s="56">
        <v>0.2</v>
      </c>
      <c r="E109" s="57">
        <v>225909198</v>
      </c>
      <c r="F109" s="57">
        <v>260923571</v>
      </c>
      <c r="G109" s="57">
        <f t="shared" si="7"/>
        <v>49135.095296000007</v>
      </c>
      <c r="H109" s="57">
        <v>888010</v>
      </c>
      <c r="I109" s="58">
        <v>10</v>
      </c>
      <c r="J109" s="58">
        <v>153</v>
      </c>
      <c r="K109" s="93" t="s">
        <v>0</v>
      </c>
      <c r="L109" s="84">
        <f t="shared" si="8"/>
        <v>12</v>
      </c>
      <c r="M109" s="87">
        <f t="shared" si="9"/>
        <v>12.75</v>
      </c>
      <c r="N109" s="106">
        <v>1062066.9437500001</v>
      </c>
      <c r="O109" s="111">
        <v>124</v>
      </c>
      <c r="P109" s="111">
        <v>133</v>
      </c>
      <c r="Q109" s="111">
        <v>153</v>
      </c>
    </row>
    <row r="110" spans="1:17" s="58" customFormat="1" ht="15" customHeight="1" x14ac:dyDescent="0.35">
      <c r="A110" s="54">
        <v>60004</v>
      </c>
      <c r="B110" s="55" t="s">
        <v>143</v>
      </c>
      <c r="C110" s="56">
        <v>0.3</v>
      </c>
      <c r="D110" s="56">
        <v>0.3</v>
      </c>
      <c r="E110" s="57">
        <v>238318982</v>
      </c>
      <c r="F110" s="57">
        <v>275901335</v>
      </c>
      <c r="G110" s="57">
        <f t="shared" si="7"/>
        <v>77133.047550000003</v>
      </c>
      <c r="H110" s="57">
        <v>2091125</v>
      </c>
      <c r="I110" s="58">
        <v>4</v>
      </c>
      <c r="J110" s="58">
        <v>392.4</v>
      </c>
      <c r="K110" s="93" t="s">
        <v>0</v>
      </c>
      <c r="L110" s="84">
        <f t="shared" si="8"/>
        <v>13.443</v>
      </c>
      <c r="M110" s="87">
        <f t="shared" si="9"/>
        <v>29.189912965855836</v>
      </c>
      <c r="N110" s="106">
        <v>2398506.5097076548</v>
      </c>
      <c r="O110" s="111">
        <v>362.5</v>
      </c>
      <c r="P110" s="111">
        <v>383</v>
      </c>
      <c r="Q110" s="111">
        <v>392.4</v>
      </c>
    </row>
    <row r="111" spans="1:17" s="58" customFormat="1" ht="15" customHeight="1" x14ac:dyDescent="0.35">
      <c r="A111" s="54">
        <v>33003</v>
      </c>
      <c r="B111" s="55" t="s">
        <v>46</v>
      </c>
      <c r="C111" s="56">
        <v>0.3</v>
      </c>
      <c r="D111" s="56">
        <v>0.3</v>
      </c>
      <c r="E111" s="57">
        <v>384281491</v>
      </c>
      <c r="F111" s="57">
        <v>435890500</v>
      </c>
      <c r="G111" s="57">
        <f t="shared" si="7"/>
        <v>123025.79865000001</v>
      </c>
      <c r="H111" s="57">
        <v>2761404</v>
      </c>
      <c r="I111" s="58">
        <v>10</v>
      </c>
      <c r="J111" s="82">
        <f>530.77-14.17</f>
        <v>516.6</v>
      </c>
      <c r="K111" s="93" t="s">
        <v>0</v>
      </c>
      <c r="L111" s="84">
        <f t="shared" si="8"/>
        <v>14.374499999999999</v>
      </c>
      <c r="M111" s="89">
        <f>(J111+14.17)/L111</f>
        <v>36.924414762252603</v>
      </c>
      <c r="N111" s="106">
        <v>3040585.0075133052</v>
      </c>
      <c r="O111" s="111">
        <v>556</v>
      </c>
      <c r="P111" s="111">
        <v>536</v>
      </c>
      <c r="Q111" s="111">
        <v>530.77</v>
      </c>
    </row>
    <row r="112" spans="1:17" s="58" customFormat="1" ht="15" customHeight="1" x14ac:dyDescent="0.35">
      <c r="A112" s="54">
        <v>32002</v>
      </c>
      <c r="B112" s="55" t="s">
        <v>119</v>
      </c>
      <c r="C112" s="56">
        <v>0.3</v>
      </c>
      <c r="D112" s="56">
        <v>0.3</v>
      </c>
      <c r="E112" s="57">
        <v>1093698859</v>
      </c>
      <c r="F112" s="57">
        <v>1179441563</v>
      </c>
      <c r="G112" s="57">
        <f t="shared" si="7"/>
        <v>340971.06329999998</v>
      </c>
      <c r="H112" s="73">
        <f>13002817-5959</f>
        <v>12996858</v>
      </c>
      <c r="I112" s="58">
        <v>2</v>
      </c>
      <c r="J112" s="58">
        <v>2664.56</v>
      </c>
      <c r="K112" s="93" t="s">
        <v>0</v>
      </c>
      <c r="L112" s="84">
        <f t="shared" si="8"/>
        <v>15</v>
      </c>
      <c r="M112" s="87">
        <f>J112/L112</f>
        <v>177.63733333333332</v>
      </c>
      <c r="N112" s="106">
        <v>14561914.490599997</v>
      </c>
      <c r="O112" s="111">
        <v>2643.51</v>
      </c>
      <c r="P112" s="111">
        <v>2652.3</v>
      </c>
      <c r="Q112" s="111">
        <v>2664.56</v>
      </c>
    </row>
    <row r="113" spans="1:17" s="58" customFormat="1" ht="15" customHeight="1" x14ac:dyDescent="0.35">
      <c r="A113" s="54">
        <v>1001</v>
      </c>
      <c r="B113" s="55" t="s">
        <v>23</v>
      </c>
      <c r="C113" s="56">
        <v>0.253</v>
      </c>
      <c r="D113" s="56">
        <v>0.3</v>
      </c>
      <c r="E113" s="57">
        <v>246573614</v>
      </c>
      <c r="F113" s="57">
        <v>290640656</v>
      </c>
      <c r="G113" s="57">
        <f t="shared" si="7"/>
        <v>74787.660571</v>
      </c>
      <c r="H113" s="57">
        <v>1883403</v>
      </c>
      <c r="I113" s="58">
        <v>6</v>
      </c>
      <c r="J113" s="82">
        <f>338-56</f>
        <v>282</v>
      </c>
      <c r="K113" s="93" t="s">
        <v>0</v>
      </c>
      <c r="L113" s="84">
        <f t="shared" si="8"/>
        <v>12.615</v>
      </c>
      <c r="M113" s="89">
        <f>(J113+56)/L113</f>
        <v>26.793499801823227</v>
      </c>
      <c r="N113" s="106">
        <v>2205744.8216409036</v>
      </c>
      <c r="O113" s="111">
        <v>311</v>
      </c>
      <c r="P113" s="111">
        <v>330</v>
      </c>
      <c r="Q113" s="111">
        <v>338</v>
      </c>
    </row>
    <row r="114" spans="1:17" s="58" customFormat="1" ht="15" customHeight="1" x14ac:dyDescent="0.35">
      <c r="A114" s="59">
        <v>11005</v>
      </c>
      <c r="B114" s="55" t="s">
        <v>160</v>
      </c>
      <c r="C114" s="56">
        <v>0.27</v>
      </c>
      <c r="D114" s="56">
        <v>0.3</v>
      </c>
      <c r="E114" s="57">
        <v>527295508</v>
      </c>
      <c r="F114" s="57">
        <v>604194726</v>
      </c>
      <c r="G114" s="57">
        <f t="shared" si="7"/>
        <v>161814.10248</v>
      </c>
      <c r="H114" s="57">
        <v>2490491</v>
      </c>
      <c r="I114" s="58">
        <v>9</v>
      </c>
      <c r="J114" s="58">
        <v>484.05</v>
      </c>
      <c r="K114" s="93" t="s">
        <v>0</v>
      </c>
      <c r="L114" s="84">
        <f t="shared" si="8"/>
        <v>14.130375000000001</v>
      </c>
      <c r="M114" s="87">
        <f t="shared" ref="M114:M128" si="10">J114/L114</f>
        <v>34.255991083039198</v>
      </c>
      <c r="N114" s="106">
        <v>2820676.8005095408</v>
      </c>
      <c r="O114" s="111">
        <v>457.4</v>
      </c>
      <c r="P114" s="111">
        <v>466</v>
      </c>
      <c r="Q114" s="111">
        <v>484.05</v>
      </c>
    </row>
    <row r="115" spans="1:17" s="58" customFormat="1" ht="15" customHeight="1" x14ac:dyDescent="0.35">
      <c r="A115" s="54">
        <v>51004</v>
      </c>
      <c r="B115" s="55" t="s">
        <v>126</v>
      </c>
      <c r="C115" s="56">
        <v>0.3</v>
      </c>
      <c r="D115" s="56">
        <v>0.3</v>
      </c>
      <c r="E115" s="57">
        <v>6185829519</v>
      </c>
      <c r="F115" s="57">
        <v>6513043731</v>
      </c>
      <c r="G115" s="57">
        <f t="shared" si="7"/>
        <v>1904830.9875</v>
      </c>
      <c r="H115" s="73">
        <f>67519561-24130</f>
        <v>67495431</v>
      </c>
      <c r="I115" s="58">
        <v>53</v>
      </c>
      <c r="J115" s="58">
        <v>13638.6</v>
      </c>
      <c r="K115" s="93" t="s">
        <v>0</v>
      </c>
      <c r="L115" s="84">
        <f t="shared" si="8"/>
        <v>15</v>
      </c>
      <c r="M115" s="87">
        <f t="shared" si="10"/>
        <v>909.24</v>
      </c>
      <c r="N115" s="106">
        <v>74593844.918500006</v>
      </c>
      <c r="O115" s="111">
        <v>13811.58</v>
      </c>
      <c r="P115" s="111">
        <v>13842.35</v>
      </c>
      <c r="Q115" s="111">
        <v>13638.6</v>
      </c>
    </row>
    <row r="116" spans="1:17" s="58" customFormat="1" ht="15" customHeight="1" x14ac:dyDescent="0.35">
      <c r="A116" s="54">
        <v>56004</v>
      </c>
      <c r="B116" s="55" t="s">
        <v>67</v>
      </c>
      <c r="C116" s="56">
        <v>0.251</v>
      </c>
      <c r="D116" s="56">
        <v>0.3</v>
      </c>
      <c r="E116" s="57">
        <v>418461647</v>
      </c>
      <c r="F116" s="57">
        <v>487954291</v>
      </c>
      <c r="G116" s="57">
        <f t="shared" si="7"/>
        <v>125710.08034849998</v>
      </c>
      <c r="H116" s="57">
        <v>3089330</v>
      </c>
      <c r="I116" s="58">
        <v>0</v>
      </c>
      <c r="J116" s="58">
        <v>600.54999999999995</v>
      </c>
      <c r="K116" s="93" t="s">
        <v>0</v>
      </c>
      <c r="L116" s="84">
        <f t="shared" si="8"/>
        <v>15</v>
      </c>
      <c r="M116" s="87">
        <f t="shared" si="10"/>
        <v>40.036666666666662</v>
      </c>
      <c r="N116" s="106">
        <v>3281411.2054999997</v>
      </c>
      <c r="O116" s="111">
        <v>623.45000000000005</v>
      </c>
      <c r="P116" s="111">
        <v>643.5</v>
      </c>
      <c r="Q116" s="111">
        <v>600.54999999999995</v>
      </c>
    </row>
    <row r="117" spans="1:17" s="58" customFormat="1" ht="15" customHeight="1" x14ac:dyDescent="0.35">
      <c r="A117" s="54">
        <v>54004</v>
      </c>
      <c r="B117" s="55" t="s">
        <v>82</v>
      </c>
      <c r="C117" s="56">
        <v>0.28599999999999998</v>
      </c>
      <c r="D117" s="56">
        <v>0.3</v>
      </c>
      <c r="E117" s="57">
        <v>156327869</v>
      </c>
      <c r="F117" s="57">
        <v>172413899</v>
      </c>
      <c r="G117" s="57">
        <f t="shared" si="7"/>
        <v>48216.970116999997</v>
      </c>
      <c r="H117" s="57">
        <v>1305628</v>
      </c>
      <c r="I117" s="58">
        <v>3</v>
      </c>
      <c r="J117" s="58">
        <v>230</v>
      </c>
      <c r="K117" s="93" t="s">
        <v>0</v>
      </c>
      <c r="L117" s="84">
        <f t="shared" si="8"/>
        <v>12.225</v>
      </c>
      <c r="M117" s="87">
        <f t="shared" si="10"/>
        <v>18.813905930470348</v>
      </c>
      <c r="N117" s="106">
        <v>1547018.7822085889</v>
      </c>
      <c r="O117" s="111">
        <v>211</v>
      </c>
      <c r="P117" s="111">
        <v>214</v>
      </c>
      <c r="Q117" s="111">
        <v>230</v>
      </c>
    </row>
    <row r="118" spans="1:17" s="58" customFormat="1" ht="15" customHeight="1" x14ac:dyDescent="0.35">
      <c r="A118" s="54">
        <v>39004</v>
      </c>
      <c r="B118" s="55" t="s">
        <v>83</v>
      </c>
      <c r="C118" s="56">
        <v>0.253</v>
      </c>
      <c r="D118" s="56">
        <v>0.253</v>
      </c>
      <c r="E118" s="57">
        <v>155271485</v>
      </c>
      <c r="F118" s="57">
        <v>178124444</v>
      </c>
      <c r="G118" s="57">
        <f t="shared" si="7"/>
        <v>42174.585018500002</v>
      </c>
      <c r="H118" s="57">
        <v>903592</v>
      </c>
      <c r="I118" s="58">
        <v>4</v>
      </c>
      <c r="J118" s="58">
        <v>157</v>
      </c>
      <c r="K118" s="93" t="s">
        <v>0</v>
      </c>
      <c r="L118" s="84">
        <f t="shared" si="8"/>
        <v>12</v>
      </c>
      <c r="M118" s="87">
        <f t="shared" si="10"/>
        <v>13.083333333333334</v>
      </c>
      <c r="N118" s="106">
        <v>1079141.9750000001</v>
      </c>
      <c r="O118" s="111">
        <v>156</v>
      </c>
      <c r="P118" s="111">
        <v>157</v>
      </c>
      <c r="Q118" s="111">
        <v>157</v>
      </c>
    </row>
    <row r="119" spans="1:17" s="58" customFormat="1" ht="15" customHeight="1" x14ac:dyDescent="0.35">
      <c r="A119" s="54">
        <v>55005</v>
      </c>
      <c r="B119" s="55" t="s">
        <v>90</v>
      </c>
      <c r="C119" s="56">
        <v>0.1</v>
      </c>
      <c r="D119" s="56">
        <v>0.185</v>
      </c>
      <c r="E119" s="57">
        <v>342578404</v>
      </c>
      <c r="F119" s="57">
        <v>386086978</v>
      </c>
      <c r="G119" s="57">
        <f t="shared" si="7"/>
        <v>52841.965664999989</v>
      </c>
      <c r="H119" s="57">
        <v>1101080</v>
      </c>
      <c r="I119" s="58">
        <v>4</v>
      </c>
      <c r="J119" s="58">
        <v>183</v>
      </c>
      <c r="K119" s="93" t="s">
        <v>0</v>
      </c>
      <c r="L119" s="84">
        <f t="shared" si="8"/>
        <v>12</v>
      </c>
      <c r="M119" s="87">
        <f t="shared" si="10"/>
        <v>15.25</v>
      </c>
      <c r="N119" s="106">
        <v>1256722.3</v>
      </c>
      <c r="O119" s="111">
        <v>197</v>
      </c>
      <c r="P119" s="111">
        <v>186</v>
      </c>
      <c r="Q119" s="111">
        <v>183</v>
      </c>
    </row>
    <row r="120" spans="1:17" s="58" customFormat="1" ht="15" customHeight="1" x14ac:dyDescent="0.35">
      <c r="A120" s="54">
        <v>4003</v>
      </c>
      <c r="B120" s="55" t="s">
        <v>85</v>
      </c>
      <c r="C120" s="56">
        <v>0.26100000000000001</v>
      </c>
      <c r="D120" s="56">
        <v>0.3</v>
      </c>
      <c r="E120" s="57">
        <v>282928319</v>
      </c>
      <c r="F120" s="57">
        <v>320730292</v>
      </c>
      <c r="G120" s="57">
        <f t="shared" si="7"/>
        <v>85031.689429499995</v>
      </c>
      <c r="H120" s="57">
        <v>1470385</v>
      </c>
      <c r="I120" s="58">
        <v>0</v>
      </c>
      <c r="J120" s="58">
        <v>252</v>
      </c>
      <c r="K120" s="93" t="s">
        <v>0</v>
      </c>
      <c r="L120" s="84">
        <f t="shared" si="8"/>
        <v>12.39</v>
      </c>
      <c r="M120" s="87">
        <f t="shared" si="10"/>
        <v>20.338983050847457</v>
      </c>
      <c r="N120" s="106">
        <v>1666986.1016949152</v>
      </c>
      <c r="O120" s="111">
        <v>264</v>
      </c>
      <c r="P120" s="111">
        <v>262</v>
      </c>
      <c r="Q120" s="111">
        <v>252</v>
      </c>
    </row>
    <row r="121" spans="1:17" s="58" customFormat="1" ht="15" customHeight="1" x14ac:dyDescent="0.35">
      <c r="A121" s="54">
        <v>62005</v>
      </c>
      <c r="B121" s="55" t="s">
        <v>111</v>
      </c>
      <c r="C121" s="56">
        <v>5.2999999999999999E-2</v>
      </c>
      <c r="D121" s="56">
        <v>8.7999999999999995E-2</v>
      </c>
      <c r="E121" s="57">
        <v>382628363</v>
      </c>
      <c r="F121" s="57">
        <v>457812419</v>
      </c>
      <c r="G121" s="57">
        <f t="shared" si="7"/>
        <v>30283.398055500002</v>
      </c>
      <c r="H121" s="73">
        <f>1044714-29</f>
        <v>1044685</v>
      </c>
      <c r="I121" s="58">
        <v>0</v>
      </c>
      <c r="J121" s="58">
        <v>177</v>
      </c>
      <c r="K121" s="93" t="s">
        <v>0</v>
      </c>
      <c r="L121" s="84">
        <f t="shared" si="8"/>
        <v>12</v>
      </c>
      <c r="M121" s="87">
        <f t="shared" si="10"/>
        <v>14.75</v>
      </c>
      <c r="N121" s="106">
        <v>1208912.2124999999</v>
      </c>
      <c r="O121" s="111">
        <v>189</v>
      </c>
      <c r="P121" s="111">
        <v>176</v>
      </c>
      <c r="Q121" s="111">
        <v>177</v>
      </c>
    </row>
    <row r="122" spans="1:17" s="58" customFormat="1" ht="15" customHeight="1" x14ac:dyDescent="0.35">
      <c r="A122" s="54">
        <v>49005</v>
      </c>
      <c r="B122" s="55" t="s">
        <v>32</v>
      </c>
      <c r="C122" s="56">
        <v>0.3</v>
      </c>
      <c r="D122" s="56">
        <v>0.3</v>
      </c>
      <c r="E122" s="57">
        <v>9431040898</v>
      </c>
      <c r="F122" s="57">
        <v>9907341140</v>
      </c>
      <c r="G122" s="57">
        <f t="shared" si="7"/>
        <v>2900757.3056999999</v>
      </c>
      <c r="H122" s="73">
        <f>115309098-54727</f>
        <v>115254371</v>
      </c>
      <c r="I122" s="58">
        <v>1114</v>
      </c>
      <c r="J122" s="58">
        <v>23354.89</v>
      </c>
      <c r="K122" s="93" t="s">
        <v>0</v>
      </c>
      <c r="L122" s="84">
        <f t="shared" si="8"/>
        <v>15</v>
      </c>
      <c r="M122" s="87">
        <f t="shared" si="10"/>
        <v>1556.9926666666665</v>
      </c>
      <c r="N122" s="106">
        <v>129133079.29389998</v>
      </c>
      <c r="O122" s="111">
        <v>22691.95</v>
      </c>
      <c r="P122" s="111">
        <v>23119.47</v>
      </c>
      <c r="Q122" s="111">
        <v>23354.89</v>
      </c>
    </row>
    <row r="123" spans="1:17" s="58" customFormat="1" ht="15" customHeight="1" x14ac:dyDescent="0.35">
      <c r="A123" s="54">
        <v>5005</v>
      </c>
      <c r="B123" s="55" t="s">
        <v>137</v>
      </c>
      <c r="C123" s="56">
        <v>0.3</v>
      </c>
      <c r="D123" s="56">
        <v>0.3</v>
      </c>
      <c r="E123" s="57">
        <v>340795052</v>
      </c>
      <c r="F123" s="57">
        <v>373024856</v>
      </c>
      <c r="G123" s="57">
        <f t="shared" si="7"/>
        <v>107072.98619999998</v>
      </c>
      <c r="H123" s="57">
        <v>3147608</v>
      </c>
      <c r="I123" s="58">
        <v>8</v>
      </c>
      <c r="J123" s="58">
        <v>643.42999999999995</v>
      </c>
      <c r="K123" s="93" t="s">
        <v>0</v>
      </c>
      <c r="L123" s="84">
        <f t="shared" si="8"/>
        <v>15</v>
      </c>
      <c r="M123" s="87">
        <f t="shared" si="10"/>
        <v>42.895333333333333</v>
      </c>
      <c r="N123" s="106">
        <v>3526635.9742999999</v>
      </c>
      <c r="O123" s="111">
        <v>582.41999999999996</v>
      </c>
      <c r="P123" s="111">
        <v>633.26</v>
      </c>
      <c r="Q123" s="111">
        <v>643.42999999999995</v>
      </c>
    </row>
    <row r="124" spans="1:17" s="58" customFormat="1" ht="15" customHeight="1" x14ac:dyDescent="0.35">
      <c r="A124" s="54">
        <v>54002</v>
      </c>
      <c r="B124" s="55" t="s">
        <v>31</v>
      </c>
      <c r="C124" s="56"/>
      <c r="D124" s="56">
        <v>0</v>
      </c>
      <c r="E124" s="57">
        <v>537180354</v>
      </c>
      <c r="F124" s="57">
        <v>585165866</v>
      </c>
      <c r="G124" s="57">
        <f t="shared" si="7"/>
        <v>0</v>
      </c>
      <c r="H124" s="57">
        <v>4468331</v>
      </c>
      <c r="I124" s="58">
        <v>5</v>
      </c>
      <c r="J124" s="58">
        <v>904</v>
      </c>
      <c r="K124" s="93" t="s">
        <v>0</v>
      </c>
      <c r="L124" s="84">
        <f t="shared" si="8"/>
        <v>15</v>
      </c>
      <c r="M124" s="87">
        <f t="shared" si="10"/>
        <v>60.266666666666666</v>
      </c>
      <c r="N124" s="106">
        <v>4946295.0525000002</v>
      </c>
      <c r="O124" s="111">
        <v>905</v>
      </c>
      <c r="P124" s="111">
        <v>925</v>
      </c>
      <c r="Q124" s="111">
        <v>904</v>
      </c>
    </row>
    <row r="125" spans="1:17" s="58" customFormat="1" ht="15" customHeight="1" x14ac:dyDescent="0.35">
      <c r="A125" s="54">
        <v>15003</v>
      </c>
      <c r="B125" s="55" t="s">
        <v>20</v>
      </c>
      <c r="C125" s="56">
        <v>0.24</v>
      </c>
      <c r="D125" s="56">
        <v>0.3</v>
      </c>
      <c r="E125" s="57">
        <v>7216572</v>
      </c>
      <c r="F125" s="57">
        <v>8373259</v>
      </c>
      <c r="G125" s="57">
        <f t="shared" si="7"/>
        <v>2121.9774899999998</v>
      </c>
      <c r="H125" s="57">
        <v>1053008</v>
      </c>
      <c r="I125" s="58">
        <v>8</v>
      </c>
      <c r="J125" s="58">
        <v>164</v>
      </c>
      <c r="K125" s="93" t="s">
        <v>0</v>
      </c>
      <c r="L125" s="84">
        <f t="shared" si="8"/>
        <v>12</v>
      </c>
      <c r="M125" s="87">
        <f t="shared" si="10"/>
        <v>13.666666666666666</v>
      </c>
      <c r="N125" s="106">
        <v>1133782.0749999997</v>
      </c>
      <c r="O125" s="111">
        <v>180</v>
      </c>
      <c r="P125" s="111">
        <v>184.5</v>
      </c>
      <c r="Q125" s="111">
        <v>164</v>
      </c>
    </row>
    <row r="126" spans="1:17" s="58" customFormat="1" ht="15" customHeight="1" x14ac:dyDescent="0.35">
      <c r="A126" s="54">
        <v>26005</v>
      </c>
      <c r="B126" s="55" t="s">
        <v>17</v>
      </c>
      <c r="C126" s="56">
        <v>0.3</v>
      </c>
      <c r="D126" s="56">
        <v>0.3</v>
      </c>
      <c r="E126" s="57">
        <v>108173566</v>
      </c>
      <c r="F126" s="57">
        <v>118571303</v>
      </c>
      <c r="G126" s="57">
        <f t="shared" si="7"/>
        <v>34011.730349999991</v>
      </c>
      <c r="H126" s="57">
        <v>632535</v>
      </c>
      <c r="I126" s="58">
        <v>0</v>
      </c>
      <c r="J126" s="58">
        <v>107</v>
      </c>
      <c r="K126" s="93" t="s">
        <v>0</v>
      </c>
      <c r="L126" s="84">
        <f t="shared" si="8"/>
        <v>12</v>
      </c>
      <c r="M126" s="87">
        <f t="shared" si="10"/>
        <v>8.9166666666666661</v>
      </c>
      <c r="N126" s="106">
        <v>730811.33750000002</v>
      </c>
      <c r="O126" s="111">
        <v>110</v>
      </c>
      <c r="P126" s="111">
        <v>111</v>
      </c>
      <c r="Q126" s="111">
        <v>107</v>
      </c>
    </row>
    <row r="127" spans="1:17" s="58" customFormat="1" ht="15" customHeight="1" x14ac:dyDescent="0.35">
      <c r="A127" s="54">
        <v>40002</v>
      </c>
      <c r="B127" s="55" t="s">
        <v>135</v>
      </c>
      <c r="C127" s="56">
        <v>0.3</v>
      </c>
      <c r="D127" s="56">
        <v>0.3</v>
      </c>
      <c r="E127" s="57">
        <v>1139014373</v>
      </c>
      <c r="F127" s="57">
        <v>1219564730</v>
      </c>
      <c r="G127" s="57">
        <f t="shared" si="7"/>
        <v>353786.86544999998</v>
      </c>
      <c r="H127" s="57">
        <v>10914238</v>
      </c>
      <c r="I127" s="58">
        <v>4</v>
      </c>
      <c r="J127" s="58">
        <v>2237.0100000000002</v>
      </c>
      <c r="K127" s="93" t="s">
        <v>0</v>
      </c>
      <c r="L127" s="84">
        <f t="shared" si="8"/>
        <v>15</v>
      </c>
      <c r="M127" s="87">
        <f t="shared" si="10"/>
        <v>149.13400000000001</v>
      </c>
      <c r="N127" s="106">
        <v>12228509.020100001</v>
      </c>
      <c r="O127" s="111">
        <v>2142.8000000000002</v>
      </c>
      <c r="P127" s="111">
        <v>2207.42</v>
      </c>
      <c r="Q127" s="111">
        <v>2237.0100000000002</v>
      </c>
    </row>
    <row r="128" spans="1:17" s="58" customFormat="1" ht="15" customHeight="1" x14ac:dyDescent="0.35">
      <c r="A128" s="62">
        <v>57001</v>
      </c>
      <c r="B128" s="63" t="s">
        <v>99</v>
      </c>
      <c r="C128" s="64">
        <v>0.3</v>
      </c>
      <c r="D128" s="56">
        <v>0.3</v>
      </c>
      <c r="E128" s="57">
        <v>454029772</v>
      </c>
      <c r="F128" s="57">
        <v>492427094</v>
      </c>
      <c r="G128" s="57">
        <f t="shared" si="7"/>
        <v>141968.52989999996</v>
      </c>
      <c r="H128" s="57">
        <v>2238899</v>
      </c>
      <c r="I128" s="58">
        <v>0</v>
      </c>
      <c r="J128" s="58">
        <v>427</v>
      </c>
      <c r="K128" s="93" t="s">
        <v>0</v>
      </c>
      <c r="L128" s="84">
        <f t="shared" si="8"/>
        <v>13.702500000000001</v>
      </c>
      <c r="M128" s="87">
        <f t="shared" si="10"/>
        <v>31.162196679438058</v>
      </c>
      <c r="N128" s="106">
        <v>2554058.3141762451</v>
      </c>
      <c r="O128" s="111">
        <v>418.61</v>
      </c>
      <c r="P128" s="111">
        <v>433.17</v>
      </c>
      <c r="Q128" s="111">
        <v>427</v>
      </c>
    </row>
    <row r="129" spans="1:17" s="58" customFormat="1" ht="15" customHeight="1" x14ac:dyDescent="0.35">
      <c r="A129" s="54"/>
      <c r="B129" s="55"/>
      <c r="C129" s="56">
        <v>0.251</v>
      </c>
      <c r="D129" s="56" t="s">
        <v>0</v>
      </c>
      <c r="E129" s="57">
        <v>164843438</v>
      </c>
      <c r="F129" s="57" t="s">
        <v>0</v>
      </c>
      <c r="G129" s="57">
        <f t="shared" si="7"/>
        <v>20687.851469000001</v>
      </c>
      <c r="H129" s="57"/>
      <c r="K129" s="93" t="s">
        <v>0</v>
      </c>
      <c r="L129" s="84">
        <f t="shared" si="8"/>
        <v>12</v>
      </c>
      <c r="M129" s="87"/>
      <c r="N129" s="106"/>
      <c r="O129" s="111"/>
      <c r="P129" s="111"/>
      <c r="Q129" s="111"/>
    </row>
    <row r="130" spans="1:17" s="58" customFormat="1" ht="15" customHeight="1" x14ac:dyDescent="0.35">
      <c r="A130" s="54">
        <v>54006</v>
      </c>
      <c r="B130" s="55" t="s">
        <v>55</v>
      </c>
      <c r="C130" s="56">
        <v>0.25800000000000001</v>
      </c>
      <c r="D130" s="56">
        <v>0.3</v>
      </c>
      <c r="E130" s="57">
        <v>93001928</v>
      </c>
      <c r="F130" s="57">
        <v>109384086</v>
      </c>
      <c r="G130" s="57">
        <f t="shared" si="7"/>
        <v>28404.861612000001</v>
      </c>
      <c r="H130" s="57">
        <v>878256</v>
      </c>
      <c r="I130" s="58">
        <v>2</v>
      </c>
      <c r="J130" s="58">
        <v>153</v>
      </c>
      <c r="K130" s="93" t="s">
        <v>0</v>
      </c>
      <c r="L130" s="84">
        <f t="shared" si="8"/>
        <v>12</v>
      </c>
      <c r="M130" s="87">
        <f t="shared" ref="M130:M154" si="11">J130/L130</f>
        <v>12.75</v>
      </c>
      <c r="N130" s="106">
        <v>1048406.91875</v>
      </c>
      <c r="O130" s="111">
        <v>164</v>
      </c>
      <c r="P130" s="111">
        <v>141</v>
      </c>
      <c r="Q130" s="111">
        <v>153</v>
      </c>
    </row>
    <row r="131" spans="1:17" s="58" customFormat="1" ht="15" customHeight="1" x14ac:dyDescent="0.35">
      <c r="A131" s="62">
        <v>41005</v>
      </c>
      <c r="B131" s="63" t="s">
        <v>25</v>
      </c>
      <c r="C131" s="56">
        <v>0.3</v>
      </c>
      <c r="D131" s="56">
        <v>0.3</v>
      </c>
      <c r="E131" s="57">
        <v>376524927</v>
      </c>
      <c r="F131" s="57">
        <v>412618874</v>
      </c>
      <c r="G131" s="57">
        <f t="shared" si="7"/>
        <v>118371.57014999999</v>
      </c>
      <c r="H131" s="57">
        <v>7846610</v>
      </c>
      <c r="I131" s="58">
        <v>3</v>
      </c>
      <c r="J131" s="58">
        <v>1608.23</v>
      </c>
      <c r="K131" s="93" t="s">
        <v>0</v>
      </c>
      <c r="L131" s="84">
        <f t="shared" ref="L131:L154" si="12">IF(J131&lt;200,12,IF(J131&gt;600,15,(J131*0.0075)+10.5))</f>
        <v>15</v>
      </c>
      <c r="M131" s="87">
        <f t="shared" si="11"/>
        <v>107.21533333333333</v>
      </c>
      <c r="N131" s="106">
        <v>8791482.8098000009</v>
      </c>
      <c r="O131" s="111">
        <v>1496.38</v>
      </c>
      <c r="P131" s="111">
        <v>1500</v>
      </c>
      <c r="Q131" s="111">
        <v>1608.23</v>
      </c>
    </row>
    <row r="132" spans="1:17" s="58" customFormat="1" ht="15" customHeight="1" x14ac:dyDescent="0.35">
      <c r="A132" s="54">
        <v>20003</v>
      </c>
      <c r="B132" s="55" t="s">
        <v>18</v>
      </c>
      <c r="C132" s="56"/>
      <c r="D132" s="56">
        <v>0</v>
      </c>
      <c r="E132" s="57">
        <v>139572457</v>
      </c>
      <c r="F132" s="57">
        <v>164751008</v>
      </c>
      <c r="G132" s="57">
        <f t="shared" ref="G132:G154" si="13">((E132/2*C132)+(F132/2*D132))/1000</f>
        <v>0</v>
      </c>
      <c r="H132" s="57">
        <v>1875913</v>
      </c>
      <c r="I132" s="58">
        <v>0</v>
      </c>
      <c r="J132" s="58">
        <v>329</v>
      </c>
      <c r="K132" s="93" t="s">
        <v>0</v>
      </c>
      <c r="L132" s="84">
        <f t="shared" si="12"/>
        <v>12.967499999999999</v>
      </c>
      <c r="M132" s="87">
        <f t="shared" si="11"/>
        <v>25.371120107962213</v>
      </c>
      <c r="N132" s="106">
        <v>2079420.8097165991</v>
      </c>
      <c r="O132" s="111">
        <v>352</v>
      </c>
      <c r="P132" s="111">
        <v>341</v>
      </c>
      <c r="Q132" s="111">
        <v>329</v>
      </c>
    </row>
    <row r="133" spans="1:17" s="58" customFormat="1" ht="15" customHeight="1" x14ac:dyDescent="0.35">
      <c r="A133" s="54">
        <v>66001</v>
      </c>
      <c r="B133" s="55" t="s">
        <v>21</v>
      </c>
      <c r="C133" s="56">
        <v>0.27700000000000002</v>
      </c>
      <c r="D133" s="56">
        <v>0.3</v>
      </c>
      <c r="E133" s="57">
        <v>142100596</v>
      </c>
      <c r="F133" s="57">
        <v>160209606</v>
      </c>
      <c r="G133" s="57">
        <f t="shared" si="13"/>
        <v>43712.373445999998</v>
      </c>
      <c r="H133" s="73">
        <f>10144705-9578</f>
        <v>10135127</v>
      </c>
      <c r="I133" s="58">
        <v>9</v>
      </c>
      <c r="J133" s="58">
        <v>2024.3</v>
      </c>
      <c r="K133" s="93" t="s">
        <v>0</v>
      </c>
      <c r="L133" s="84">
        <f t="shared" si="12"/>
        <v>15</v>
      </c>
      <c r="M133" s="87">
        <f t="shared" si="11"/>
        <v>134.95333333333332</v>
      </c>
      <c r="N133" s="106">
        <v>11073089.465499999</v>
      </c>
      <c r="O133" s="111">
        <v>2098</v>
      </c>
      <c r="P133" s="111">
        <v>2054</v>
      </c>
      <c r="Q133" s="111">
        <v>2024.3</v>
      </c>
    </row>
    <row r="134" spans="1:17" s="58" customFormat="1" ht="15" customHeight="1" x14ac:dyDescent="0.35">
      <c r="A134" s="54">
        <v>33005</v>
      </c>
      <c r="B134" s="55" t="s">
        <v>58</v>
      </c>
      <c r="C134" s="56">
        <v>0.14099999999999999</v>
      </c>
      <c r="D134" s="56">
        <v>0.16200000000000001</v>
      </c>
      <c r="E134" s="57">
        <v>270210365</v>
      </c>
      <c r="F134" s="57">
        <v>309616537</v>
      </c>
      <c r="G134" s="57">
        <f t="shared" si="13"/>
        <v>44128.770229499998</v>
      </c>
      <c r="H134" s="57">
        <v>1025446</v>
      </c>
      <c r="I134" s="58">
        <v>3</v>
      </c>
      <c r="J134" s="58">
        <v>158</v>
      </c>
      <c r="K134" s="93" t="s">
        <v>0</v>
      </c>
      <c r="L134" s="84">
        <f t="shared" si="12"/>
        <v>12</v>
      </c>
      <c r="M134" s="87">
        <f t="shared" si="11"/>
        <v>13.166666666666666</v>
      </c>
      <c r="N134" s="106">
        <v>1084264.484375</v>
      </c>
      <c r="O134" s="111">
        <v>191</v>
      </c>
      <c r="P134" s="111">
        <v>166</v>
      </c>
      <c r="Q134" s="111">
        <v>158</v>
      </c>
    </row>
    <row r="135" spans="1:17" s="58" customFormat="1" ht="15" customHeight="1" x14ac:dyDescent="0.35">
      <c r="A135" s="54">
        <v>49006</v>
      </c>
      <c r="B135" s="55" t="s">
        <v>136</v>
      </c>
      <c r="C135" s="56">
        <v>0.3</v>
      </c>
      <c r="D135" s="56">
        <v>0.3</v>
      </c>
      <c r="E135" s="57">
        <v>456136854</v>
      </c>
      <c r="F135" s="57">
        <v>497124530</v>
      </c>
      <c r="G135" s="57">
        <f t="shared" si="13"/>
        <v>142989.20759999999</v>
      </c>
      <c r="H135" s="57">
        <v>4386646</v>
      </c>
      <c r="I135" s="58">
        <v>10</v>
      </c>
      <c r="J135" s="58">
        <v>897</v>
      </c>
      <c r="K135" s="93" t="s">
        <v>0</v>
      </c>
      <c r="L135" s="84">
        <f t="shared" si="12"/>
        <v>15</v>
      </c>
      <c r="M135" s="87">
        <f t="shared" si="11"/>
        <v>59.8</v>
      </c>
      <c r="N135" s="106">
        <v>4914876.9949999992</v>
      </c>
      <c r="O135" s="111">
        <v>809</v>
      </c>
      <c r="P135" s="111">
        <v>848</v>
      </c>
      <c r="Q135" s="111">
        <v>897</v>
      </c>
    </row>
    <row r="136" spans="1:17" s="58" customFormat="1" ht="15" customHeight="1" x14ac:dyDescent="0.35">
      <c r="A136" s="54">
        <v>13001</v>
      </c>
      <c r="B136" s="55" t="s">
        <v>130</v>
      </c>
      <c r="C136" s="56">
        <v>0.3</v>
      </c>
      <c r="D136" s="56">
        <v>0.3</v>
      </c>
      <c r="E136" s="57">
        <v>628276041</v>
      </c>
      <c r="F136" s="57">
        <v>669063324</v>
      </c>
      <c r="G136" s="57">
        <f t="shared" si="13"/>
        <v>194600.90474999999</v>
      </c>
      <c r="H136" s="57">
        <v>5960718</v>
      </c>
      <c r="I136" s="58">
        <v>3</v>
      </c>
      <c r="J136" s="58">
        <v>1204.1199999999999</v>
      </c>
      <c r="K136" s="93" t="s">
        <v>0</v>
      </c>
      <c r="L136" s="84">
        <f t="shared" si="12"/>
        <v>15</v>
      </c>
      <c r="M136" s="87">
        <f t="shared" si="11"/>
        <v>80.274666666666661</v>
      </c>
      <c r="N136" s="106">
        <v>6583421.7286999989</v>
      </c>
      <c r="O136" s="111">
        <v>1214.1600000000001</v>
      </c>
      <c r="P136" s="111">
        <v>1228.8800000000001</v>
      </c>
      <c r="Q136" s="111">
        <v>1204.1199999999999</v>
      </c>
    </row>
    <row r="137" spans="1:17" s="58" customFormat="1" ht="15" customHeight="1" x14ac:dyDescent="0.35">
      <c r="A137" s="62">
        <v>60006</v>
      </c>
      <c r="B137" s="63" t="s">
        <v>161</v>
      </c>
      <c r="C137" s="56">
        <v>0.3</v>
      </c>
      <c r="D137" s="56">
        <v>0.3</v>
      </c>
      <c r="E137" s="57">
        <v>308147411</v>
      </c>
      <c r="F137" s="57">
        <v>352373537</v>
      </c>
      <c r="G137" s="57">
        <f t="shared" si="13"/>
        <v>99078.142199999987</v>
      </c>
      <c r="H137" s="57">
        <v>1894732</v>
      </c>
      <c r="I137" s="58">
        <v>7</v>
      </c>
      <c r="J137" s="58">
        <v>331</v>
      </c>
      <c r="K137" s="93" t="s">
        <v>0</v>
      </c>
      <c r="L137" s="84">
        <f t="shared" si="12"/>
        <v>12.9825</v>
      </c>
      <c r="M137" s="87">
        <f t="shared" si="11"/>
        <v>25.495859811284422</v>
      </c>
      <c r="N137" s="106">
        <v>2100692.4638937032</v>
      </c>
      <c r="O137" s="111">
        <v>349</v>
      </c>
      <c r="P137" s="111">
        <v>348.4</v>
      </c>
      <c r="Q137" s="111">
        <v>331</v>
      </c>
    </row>
    <row r="138" spans="1:17" s="58" customFormat="1" ht="15" customHeight="1" x14ac:dyDescent="0.35">
      <c r="A138" s="54">
        <v>11004</v>
      </c>
      <c r="B138" s="55" t="s">
        <v>19</v>
      </c>
      <c r="C138" s="56">
        <v>0.3</v>
      </c>
      <c r="D138" s="56">
        <v>0.3</v>
      </c>
      <c r="E138" s="57">
        <v>286961539</v>
      </c>
      <c r="F138" s="57">
        <v>327078425</v>
      </c>
      <c r="G138" s="57">
        <f t="shared" si="13"/>
        <v>92105.994599999991</v>
      </c>
      <c r="H138" s="57">
        <v>4053807</v>
      </c>
      <c r="I138" s="58">
        <v>1</v>
      </c>
      <c r="J138" s="58">
        <v>831</v>
      </c>
      <c r="K138" s="93" t="s">
        <v>0</v>
      </c>
      <c r="L138" s="84">
        <f t="shared" si="12"/>
        <v>15</v>
      </c>
      <c r="M138" s="87">
        <f t="shared" si="11"/>
        <v>55.4</v>
      </c>
      <c r="N138" s="106">
        <v>4541958.3125</v>
      </c>
      <c r="O138" s="111">
        <v>769</v>
      </c>
      <c r="P138" s="111">
        <v>812.4</v>
      </c>
      <c r="Q138" s="111">
        <v>831</v>
      </c>
    </row>
    <row r="139" spans="1:17" s="58" customFormat="1" ht="15" customHeight="1" x14ac:dyDescent="0.35">
      <c r="A139" s="54">
        <v>51005</v>
      </c>
      <c r="B139" s="55" t="s">
        <v>64</v>
      </c>
      <c r="C139" s="56"/>
      <c r="D139" s="56">
        <v>0</v>
      </c>
      <c r="E139" s="57">
        <v>223882183</v>
      </c>
      <c r="F139" s="57">
        <v>246684116</v>
      </c>
      <c r="G139" s="57">
        <f t="shared" si="13"/>
        <v>0</v>
      </c>
      <c r="H139" s="57">
        <v>1437577</v>
      </c>
      <c r="I139" s="58">
        <v>0</v>
      </c>
      <c r="J139" s="58">
        <v>255</v>
      </c>
      <c r="K139" s="93" t="s">
        <v>0</v>
      </c>
      <c r="L139" s="84">
        <f t="shared" si="12"/>
        <v>12.4125</v>
      </c>
      <c r="M139" s="87">
        <f t="shared" si="11"/>
        <v>20.543806646525681</v>
      </c>
      <c r="N139" s="106">
        <v>1683773.4743202417</v>
      </c>
      <c r="O139" s="111">
        <v>254</v>
      </c>
      <c r="P139" s="111">
        <v>259</v>
      </c>
      <c r="Q139" s="111">
        <v>255</v>
      </c>
    </row>
    <row r="140" spans="1:17" s="58" customFormat="1" ht="15" customHeight="1" x14ac:dyDescent="0.35">
      <c r="A140" s="54">
        <v>6005</v>
      </c>
      <c r="B140" s="55" t="s">
        <v>37</v>
      </c>
      <c r="C140" s="56">
        <v>0.20899999999999999</v>
      </c>
      <c r="D140" s="56">
        <v>0.3</v>
      </c>
      <c r="E140" s="57">
        <v>207188285</v>
      </c>
      <c r="F140" s="57">
        <v>244178603</v>
      </c>
      <c r="G140" s="57">
        <f t="shared" si="13"/>
        <v>58277.966232499995</v>
      </c>
      <c r="H140" s="57">
        <v>1714222</v>
      </c>
      <c r="I140" s="58">
        <v>1</v>
      </c>
      <c r="J140" s="58">
        <v>308</v>
      </c>
      <c r="K140" s="93" t="s">
        <v>0</v>
      </c>
      <c r="L140" s="84">
        <f t="shared" si="12"/>
        <v>12.81</v>
      </c>
      <c r="M140" s="87">
        <f t="shared" si="11"/>
        <v>24.043715846994534</v>
      </c>
      <c r="N140" s="106">
        <v>1972226.0919203747</v>
      </c>
      <c r="O140" s="111">
        <v>317.43</v>
      </c>
      <c r="P140" s="111">
        <v>307</v>
      </c>
      <c r="Q140" s="111">
        <v>308</v>
      </c>
    </row>
    <row r="141" spans="1:17" s="58" customFormat="1" ht="15" customHeight="1" x14ac:dyDescent="0.35">
      <c r="A141" s="54">
        <v>14004</v>
      </c>
      <c r="B141" s="55" t="s">
        <v>128</v>
      </c>
      <c r="C141" s="56">
        <v>0.3</v>
      </c>
      <c r="D141" s="56">
        <v>0.3</v>
      </c>
      <c r="E141" s="57">
        <v>1815862431</v>
      </c>
      <c r="F141" s="57">
        <v>1915659147</v>
      </c>
      <c r="G141" s="57">
        <f t="shared" si="13"/>
        <v>559728.23670000001</v>
      </c>
      <c r="H141" s="57">
        <v>19361566</v>
      </c>
      <c r="I141" s="58">
        <v>12</v>
      </c>
      <c r="J141" s="58">
        <v>3967.17</v>
      </c>
      <c r="K141" s="93" t="s">
        <v>0</v>
      </c>
      <c r="L141" s="84">
        <f t="shared" si="12"/>
        <v>15</v>
      </c>
      <c r="M141" s="87">
        <f t="shared" si="11"/>
        <v>264.47800000000001</v>
      </c>
      <c r="N141" s="106">
        <v>21693048.581700001</v>
      </c>
      <c r="O141" s="111">
        <v>3857.12</v>
      </c>
      <c r="P141" s="111">
        <v>3913.23</v>
      </c>
      <c r="Q141" s="111">
        <v>3967.17</v>
      </c>
    </row>
    <row r="142" spans="1:17" s="58" customFormat="1" ht="15" customHeight="1" x14ac:dyDescent="0.35">
      <c r="A142" s="54">
        <v>18003</v>
      </c>
      <c r="B142" s="55" t="s">
        <v>62</v>
      </c>
      <c r="C142" s="56"/>
      <c r="D142" s="56">
        <v>0</v>
      </c>
      <c r="E142" s="57">
        <v>119956681</v>
      </c>
      <c r="F142" s="57">
        <v>141256707</v>
      </c>
      <c r="G142" s="57">
        <f t="shared" si="13"/>
        <v>0</v>
      </c>
      <c r="H142" s="57">
        <v>990304</v>
      </c>
      <c r="I142" s="58">
        <v>0</v>
      </c>
      <c r="J142" s="58">
        <v>173</v>
      </c>
      <c r="K142" s="93" t="s">
        <v>0</v>
      </c>
      <c r="L142" s="84">
        <f t="shared" si="12"/>
        <v>12</v>
      </c>
      <c r="M142" s="87">
        <f t="shared" si="11"/>
        <v>14.416666666666666</v>
      </c>
      <c r="N142" s="106">
        <v>1181592.1625000001</v>
      </c>
      <c r="O142" s="111">
        <v>160</v>
      </c>
      <c r="P142" s="111">
        <v>156</v>
      </c>
      <c r="Q142" s="111">
        <v>173</v>
      </c>
    </row>
    <row r="143" spans="1:17" s="58" customFormat="1" ht="15" customHeight="1" x14ac:dyDescent="0.35">
      <c r="A143" s="54">
        <v>14005</v>
      </c>
      <c r="B143" s="55" t="s">
        <v>145</v>
      </c>
      <c r="C143" s="56">
        <v>0.14000000000000001</v>
      </c>
      <c r="D143" s="56">
        <v>0.14000000000000001</v>
      </c>
      <c r="E143" s="57">
        <v>208098340</v>
      </c>
      <c r="F143" s="57">
        <v>235709717</v>
      </c>
      <c r="G143" s="57">
        <f t="shared" si="13"/>
        <v>31066.563990000002</v>
      </c>
      <c r="H143" s="57">
        <v>1343221</v>
      </c>
      <c r="I143" s="58">
        <v>0</v>
      </c>
      <c r="J143" s="58">
        <v>238</v>
      </c>
      <c r="K143" s="93" t="s">
        <v>0</v>
      </c>
      <c r="L143" s="84">
        <f t="shared" si="12"/>
        <v>12.285</v>
      </c>
      <c r="M143" s="87">
        <f t="shared" si="11"/>
        <v>19.373219373219374</v>
      </c>
      <c r="N143" s="106">
        <v>1587831.965811966</v>
      </c>
      <c r="O143" s="111">
        <v>215</v>
      </c>
      <c r="P143" s="111">
        <v>212</v>
      </c>
      <c r="Q143" s="111">
        <v>238</v>
      </c>
    </row>
    <row r="144" spans="1:17" s="58" customFormat="1" ht="15" customHeight="1" x14ac:dyDescent="0.35">
      <c r="A144" s="54">
        <v>18005</v>
      </c>
      <c r="B144" s="55" t="s">
        <v>59</v>
      </c>
      <c r="C144" s="56">
        <v>0.25600000000000001</v>
      </c>
      <c r="D144" s="56">
        <v>0.3</v>
      </c>
      <c r="E144" s="57">
        <v>432001868</v>
      </c>
      <c r="F144" s="57">
        <v>505148938</v>
      </c>
      <c r="G144" s="57">
        <f t="shared" si="13"/>
        <v>131068.57980400001</v>
      </c>
      <c r="H144" s="57">
        <v>2629972</v>
      </c>
      <c r="I144" s="58">
        <v>0</v>
      </c>
      <c r="J144" s="58">
        <v>513</v>
      </c>
      <c r="K144" s="93" t="s">
        <v>0</v>
      </c>
      <c r="L144" s="84">
        <f t="shared" si="12"/>
        <v>14.3475</v>
      </c>
      <c r="M144" s="87">
        <f t="shared" si="11"/>
        <v>35.755358076319915</v>
      </c>
      <c r="N144" s="106">
        <v>2930514.5112388916</v>
      </c>
      <c r="O144" s="111">
        <v>535</v>
      </c>
      <c r="P144" s="111">
        <v>508</v>
      </c>
      <c r="Q144" s="111">
        <v>513</v>
      </c>
    </row>
    <row r="145" spans="1:75" s="58" customFormat="1" ht="15" customHeight="1" x14ac:dyDescent="0.35">
      <c r="A145" s="54">
        <v>36002</v>
      </c>
      <c r="B145" s="55" t="s">
        <v>108</v>
      </c>
      <c r="C145" s="56">
        <v>0.14499999999999999</v>
      </c>
      <c r="D145" s="56">
        <v>0.124</v>
      </c>
      <c r="E145" s="57">
        <v>483434784</v>
      </c>
      <c r="F145" s="57">
        <v>565847129</v>
      </c>
      <c r="G145" s="57">
        <f t="shared" si="13"/>
        <v>70131.543837999998</v>
      </c>
      <c r="H145" s="57">
        <v>1856545</v>
      </c>
      <c r="I145" s="58">
        <v>13</v>
      </c>
      <c r="J145" s="58">
        <v>339</v>
      </c>
      <c r="K145" s="93" t="s">
        <v>0</v>
      </c>
      <c r="L145" s="84">
        <f t="shared" si="12"/>
        <v>13.0425</v>
      </c>
      <c r="M145" s="87">
        <f t="shared" si="11"/>
        <v>25.991949396204713</v>
      </c>
      <c r="N145" s="106">
        <v>2150727.3404255314</v>
      </c>
      <c r="O145" s="111">
        <v>281</v>
      </c>
      <c r="P145" s="111">
        <v>319</v>
      </c>
      <c r="Q145" s="111">
        <v>339</v>
      </c>
    </row>
    <row r="146" spans="1:75" s="58" customFormat="1" ht="15" customHeight="1" x14ac:dyDescent="0.35">
      <c r="A146" s="54">
        <v>49007</v>
      </c>
      <c r="B146" s="55" t="s">
        <v>115</v>
      </c>
      <c r="C146" s="56">
        <v>0.3</v>
      </c>
      <c r="D146" s="56">
        <v>0.3</v>
      </c>
      <c r="E146" s="57">
        <v>510067521</v>
      </c>
      <c r="F146" s="57">
        <v>541016611</v>
      </c>
      <c r="G146" s="57">
        <f t="shared" si="13"/>
        <v>157662.61979999999</v>
      </c>
      <c r="H146" s="57">
        <v>6713738</v>
      </c>
      <c r="I146" s="58">
        <v>3</v>
      </c>
      <c r="J146" s="58">
        <v>1375.93</v>
      </c>
      <c r="K146" s="93" t="s">
        <v>0</v>
      </c>
      <c r="L146" s="84">
        <f t="shared" si="12"/>
        <v>15</v>
      </c>
      <c r="M146" s="87">
        <f t="shared" si="11"/>
        <v>91.728666666666669</v>
      </c>
      <c r="N146" s="106">
        <v>7522193.2868000008</v>
      </c>
      <c r="O146" s="111">
        <v>1372.72</v>
      </c>
      <c r="P146" s="111">
        <v>1340.93</v>
      </c>
      <c r="Q146" s="111">
        <v>1375.93</v>
      </c>
    </row>
    <row r="147" spans="1:75" s="58" customFormat="1" ht="15" customHeight="1" x14ac:dyDescent="0.35">
      <c r="A147" s="54">
        <v>1003</v>
      </c>
      <c r="B147" s="55" t="s">
        <v>68</v>
      </c>
      <c r="C147" s="56">
        <v>0.247</v>
      </c>
      <c r="D147" s="56">
        <v>0.27</v>
      </c>
      <c r="E147" s="57">
        <v>184033366</v>
      </c>
      <c r="F147" s="57">
        <v>218120074</v>
      </c>
      <c r="G147" s="57">
        <f t="shared" si="13"/>
        <v>52174.330691000003</v>
      </c>
      <c r="H147" s="57">
        <v>658295</v>
      </c>
      <c r="I147" s="58">
        <v>0</v>
      </c>
      <c r="J147" s="58">
        <v>110</v>
      </c>
      <c r="K147" s="93" t="s">
        <v>0</v>
      </c>
      <c r="L147" s="84">
        <f t="shared" si="12"/>
        <v>12</v>
      </c>
      <c r="M147" s="87">
        <f t="shared" si="11"/>
        <v>9.1666666666666661</v>
      </c>
      <c r="N147" s="106">
        <v>751301.375</v>
      </c>
      <c r="O147" s="111">
        <v>114</v>
      </c>
      <c r="P147" s="111">
        <v>116</v>
      </c>
      <c r="Q147" s="111">
        <v>110</v>
      </c>
    </row>
    <row r="148" spans="1:75" s="58" customFormat="1" ht="15" customHeight="1" x14ac:dyDescent="0.35">
      <c r="A148" s="54">
        <v>47001</v>
      </c>
      <c r="B148" s="55" t="s">
        <v>22</v>
      </c>
      <c r="C148" s="56">
        <v>0.28199999999999997</v>
      </c>
      <c r="D148" s="56">
        <v>0.3</v>
      </c>
      <c r="E148" s="57">
        <v>119456388</v>
      </c>
      <c r="F148" s="57">
        <v>130796480</v>
      </c>
      <c r="G148" s="57">
        <f t="shared" si="13"/>
        <v>36462.822708</v>
      </c>
      <c r="H148" s="57">
        <v>2132442</v>
      </c>
      <c r="I148" s="58">
        <v>0</v>
      </c>
      <c r="J148" s="58">
        <v>400</v>
      </c>
      <c r="K148" s="93" t="s">
        <v>0</v>
      </c>
      <c r="L148" s="84">
        <f t="shared" si="12"/>
        <v>13.5</v>
      </c>
      <c r="M148" s="87">
        <f t="shared" si="11"/>
        <v>29.62962962962963</v>
      </c>
      <c r="N148" s="106">
        <v>2428448.888888889</v>
      </c>
      <c r="O148" s="111">
        <v>408.49</v>
      </c>
      <c r="P148" s="111">
        <v>397</v>
      </c>
      <c r="Q148" s="111">
        <v>400</v>
      </c>
    </row>
    <row r="149" spans="1:75" s="58" customFormat="1" ht="15" customHeight="1" x14ac:dyDescent="0.35">
      <c r="A149" s="54">
        <v>12003</v>
      </c>
      <c r="B149" s="55" t="s">
        <v>71</v>
      </c>
      <c r="C149" s="56">
        <v>0.23</v>
      </c>
      <c r="D149" s="56">
        <v>0.23</v>
      </c>
      <c r="E149" s="57">
        <v>267957173</v>
      </c>
      <c r="F149" s="57">
        <v>313902619</v>
      </c>
      <c r="G149" s="57">
        <f t="shared" si="13"/>
        <v>66913.876080000002</v>
      </c>
      <c r="H149" s="57">
        <v>1262574</v>
      </c>
      <c r="I149" s="58">
        <v>21</v>
      </c>
      <c r="J149" s="58">
        <v>214</v>
      </c>
      <c r="K149" s="93" t="s">
        <v>0</v>
      </c>
      <c r="L149" s="84">
        <f t="shared" si="12"/>
        <v>12.105</v>
      </c>
      <c r="M149" s="87">
        <f t="shared" si="11"/>
        <v>17.678645187938869</v>
      </c>
      <c r="N149" s="106">
        <v>1484490.944857497</v>
      </c>
      <c r="O149" s="111">
        <v>227</v>
      </c>
      <c r="P149" s="111">
        <v>208</v>
      </c>
      <c r="Q149" s="111">
        <v>214</v>
      </c>
    </row>
    <row r="150" spans="1:75" s="58" customFormat="1" ht="15" customHeight="1" x14ac:dyDescent="0.35">
      <c r="A150" s="54">
        <v>54007</v>
      </c>
      <c r="B150" s="55" t="s">
        <v>42</v>
      </c>
      <c r="C150" s="56">
        <v>0.27400000000000002</v>
      </c>
      <c r="D150" s="56">
        <v>0.3</v>
      </c>
      <c r="E150" s="57">
        <v>161425825</v>
      </c>
      <c r="F150" s="57">
        <v>175577551</v>
      </c>
      <c r="G150" s="57">
        <f t="shared" si="13"/>
        <v>48451.970674999997</v>
      </c>
      <c r="H150" s="57">
        <v>1192394</v>
      </c>
      <c r="I150" s="58">
        <v>0</v>
      </c>
      <c r="J150" s="58">
        <v>197</v>
      </c>
      <c r="K150" s="93" t="s">
        <v>0</v>
      </c>
      <c r="L150" s="84">
        <f t="shared" si="12"/>
        <v>12</v>
      </c>
      <c r="M150" s="87">
        <f t="shared" si="11"/>
        <v>16.416666666666668</v>
      </c>
      <c r="N150" s="106">
        <v>1345512.4625000001</v>
      </c>
      <c r="O150" s="111">
        <v>207</v>
      </c>
      <c r="P150" s="111">
        <v>211</v>
      </c>
      <c r="Q150" s="111">
        <v>197</v>
      </c>
    </row>
    <row r="151" spans="1:75" s="58" customFormat="1" ht="15" customHeight="1" x14ac:dyDescent="0.35">
      <c r="A151" s="54">
        <v>59002</v>
      </c>
      <c r="B151" s="55" t="s">
        <v>89</v>
      </c>
      <c r="C151" s="56">
        <v>0.3</v>
      </c>
      <c r="D151" s="56">
        <v>0.3</v>
      </c>
      <c r="E151" s="57">
        <v>570294710</v>
      </c>
      <c r="F151" s="57">
        <v>685193647</v>
      </c>
      <c r="G151" s="57">
        <f t="shared" si="13"/>
        <v>188323.25355000002</v>
      </c>
      <c r="H151" s="57">
        <v>3516144</v>
      </c>
      <c r="I151" s="58">
        <v>0</v>
      </c>
      <c r="J151" s="58">
        <v>721</v>
      </c>
      <c r="K151" s="93" t="s">
        <v>0</v>
      </c>
      <c r="L151" s="84">
        <f t="shared" si="12"/>
        <v>15</v>
      </c>
      <c r="M151" s="87">
        <f t="shared" si="11"/>
        <v>48.06666666666667</v>
      </c>
      <c r="N151" s="106">
        <v>3939551.21</v>
      </c>
      <c r="O151" s="111">
        <v>676</v>
      </c>
      <c r="P151" s="111">
        <v>684</v>
      </c>
      <c r="Q151" s="111">
        <v>721</v>
      </c>
    </row>
    <row r="152" spans="1:75" s="58" customFormat="1" ht="15" customHeight="1" x14ac:dyDescent="0.35">
      <c r="A152" s="59">
        <v>2006</v>
      </c>
      <c r="B152" s="55" t="s">
        <v>162</v>
      </c>
      <c r="C152" s="56">
        <v>0.251</v>
      </c>
      <c r="D152" s="56">
        <v>0.3</v>
      </c>
      <c r="E152" s="57">
        <v>358916331</v>
      </c>
      <c r="F152" s="57">
        <v>426063344</v>
      </c>
      <c r="G152" s="57">
        <f t="shared" si="13"/>
        <v>108953.5011405</v>
      </c>
      <c r="H152" s="57">
        <v>1887599</v>
      </c>
      <c r="I152" s="58">
        <v>0</v>
      </c>
      <c r="J152" s="58">
        <v>349</v>
      </c>
      <c r="K152" s="93" t="s">
        <v>0</v>
      </c>
      <c r="L152" s="84">
        <f t="shared" si="12"/>
        <v>13.1175</v>
      </c>
      <c r="M152" s="87">
        <f t="shared" si="11"/>
        <v>26.605679435868115</v>
      </c>
      <c r="N152" s="106">
        <v>2180605.477415666</v>
      </c>
      <c r="O152" s="111">
        <v>330</v>
      </c>
      <c r="P152" s="111">
        <v>350</v>
      </c>
      <c r="Q152" s="111">
        <v>349</v>
      </c>
    </row>
    <row r="153" spans="1:75" s="58" customFormat="1" ht="15" customHeight="1" x14ac:dyDescent="0.35">
      <c r="A153" s="54">
        <v>55004</v>
      </c>
      <c r="B153" s="55" t="s">
        <v>61</v>
      </c>
      <c r="C153" s="56">
        <v>0.25600000000000001</v>
      </c>
      <c r="D153" s="56">
        <v>0.3</v>
      </c>
      <c r="E153" s="57">
        <v>192336234</v>
      </c>
      <c r="F153" s="57">
        <v>214269936</v>
      </c>
      <c r="G153" s="57">
        <f t="shared" si="13"/>
        <v>56759.528352000001</v>
      </c>
      <c r="H153" s="57">
        <v>1234357</v>
      </c>
      <c r="I153" s="58">
        <v>0</v>
      </c>
      <c r="J153" s="58">
        <v>204</v>
      </c>
      <c r="K153" s="93" t="s">
        <v>0</v>
      </c>
      <c r="L153" s="84">
        <f t="shared" si="12"/>
        <v>12.03</v>
      </c>
      <c r="M153" s="87">
        <f t="shared" si="11"/>
        <v>16.957605985037407</v>
      </c>
      <c r="N153" s="106">
        <v>1389847.9301745635</v>
      </c>
      <c r="O153" s="111">
        <v>222</v>
      </c>
      <c r="P153" s="111">
        <v>212</v>
      </c>
      <c r="Q153" s="111">
        <v>204</v>
      </c>
    </row>
    <row r="154" spans="1:75" s="58" customFormat="1" ht="15" customHeight="1" x14ac:dyDescent="0.35">
      <c r="A154" s="54">
        <v>63003</v>
      </c>
      <c r="B154" s="55" t="s">
        <v>123</v>
      </c>
      <c r="C154" s="56">
        <v>0.3</v>
      </c>
      <c r="D154" s="56">
        <v>0.3</v>
      </c>
      <c r="E154" s="57">
        <v>1244186322</v>
      </c>
      <c r="F154" s="57">
        <v>1326077806</v>
      </c>
      <c r="G154" s="57">
        <f t="shared" si="13"/>
        <v>385539.61920000002</v>
      </c>
      <c r="H154" s="57">
        <v>13236355</v>
      </c>
      <c r="I154" s="58">
        <v>18</v>
      </c>
      <c r="J154" s="58">
        <v>2709.67</v>
      </c>
      <c r="K154" s="93" t="s">
        <v>0</v>
      </c>
      <c r="L154" s="84">
        <f t="shared" si="12"/>
        <v>15</v>
      </c>
      <c r="M154" s="87">
        <f t="shared" si="11"/>
        <v>180.64466666666667</v>
      </c>
      <c r="N154" s="106">
        <v>14830252.0217</v>
      </c>
      <c r="O154" s="111">
        <v>2682.41</v>
      </c>
      <c r="P154" s="111">
        <v>2685.36</v>
      </c>
      <c r="Q154" s="111">
        <v>2709.67</v>
      </c>
    </row>
    <row r="155" spans="1:75" ht="15" customHeight="1" x14ac:dyDescent="0.4">
      <c r="C155" s="56"/>
      <c r="D155" s="56"/>
      <c r="E155" s="57"/>
      <c r="F155" s="57"/>
      <c r="G155" s="57"/>
      <c r="H155" s="57"/>
      <c r="I155" s="58"/>
      <c r="J155" s="58"/>
      <c r="K155" s="93"/>
      <c r="L155" s="84"/>
      <c r="M155" s="87"/>
      <c r="N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row>
    <row r="156" spans="1:75" ht="15" customHeight="1" x14ac:dyDescent="0.4">
      <c r="C156" s="56"/>
      <c r="D156" s="56"/>
      <c r="E156" s="66">
        <f>SUM(E3:E154)</f>
        <v>74750312778</v>
      </c>
      <c r="F156" s="66">
        <f>SUM(F3:F154)</f>
        <v>82802974580</v>
      </c>
      <c r="G156" s="66">
        <f>SUM(G3:G154)</f>
        <v>21079493.932931002</v>
      </c>
      <c r="H156" s="66">
        <f t="shared" ref="H156:I156" si="14">SUM(H3:H154)</f>
        <v>665015644</v>
      </c>
      <c r="I156" s="66">
        <f t="shared" si="14"/>
        <v>2424</v>
      </c>
      <c r="J156" s="48">
        <f>SUM(J3:J154)</f>
        <v>131152.64000000001</v>
      </c>
      <c r="K156" s="48"/>
      <c r="L156" s="48"/>
      <c r="M156" s="87">
        <f t="shared" ref="M156:N156" si="15">SUM(M3:M154)</f>
        <v>9065.6705274304986</v>
      </c>
      <c r="N156" s="106">
        <f t="shared" si="15"/>
        <v>746423575.64741957</v>
      </c>
      <c r="O156" s="112">
        <f>SUM(O3:O154)+O157+O158</f>
        <v>128496.4</v>
      </c>
      <c r="P156" s="112">
        <f>SUM(P3:P154)+P157+P158</f>
        <v>129820.48999999999</v>
      </c>
      <c r="Q156" s="112">
        <f>SUM(Q3:Q154)</f>
        <v>131222.81</v>
      </c>
    </row>
    <row r="157" spans="1:75" s="68" customFormat="1" ht="15" customHeight="1" x14ac:dyDescent="0.4">
      <c r="A157" s="67"/>
      <c r="C157" s="56"/>
      <c r="D157" s="56"/>
      <c r="E157" s="69"/>
      <c r="F157" s="69"/>
      <c r="G157" s="69"/>
      <c r="H157" s="69"/>
      <c r="K157" s="94"/>
      <c r="L157" s="85"/>
      <c r="M157" s="88"/>
      <c r="N157" s="113">
        <f>N156-H156</f>
        <v>81407931.647419572</v>
      </c>
      <c r="O157" s="108"/>
      <c r="P157" s="108"/>
      <c r="Q157" s="108"/>
    </row>
    <row r="158" spans="1:75" ht="15" customHeight="1" x14ac:dyDescent="0.4">
      <c r="C158" s="56"/>
      <c r="D158" s="56"/>
      <c r="E158" s="66"/>
      <c r="F158" s="66"/>
      <c r="G158" s="66"/>
      <c r="H158" s="66"/>
    </row>
    <row r="159" spans="1:75" ht="15" customHeight="1" x14ac:dyDescent="0.4">
      <c r="C159" s="70"/>
      <c r="D159" s="70"/>
      <c r="E159" s="66"/>
      <c r="F159" s="66"/>
      <c r="G159" s="66"/>
      <c r="H159" s="66"/>
    </row>
    <row r="160" spans="1:75" ht="15" customHeight="1" x14ac:dyDescent="0.4">
      <c r="C160" s="70"/>
      <c r="D160" s="70"/>
      <c r="E160" s="66"/>
      <c r="F160" s="66"/>
      <c r="G160" s="66"/>
      <c r="H160" s="66"/>
    </row>
    <row r="161" spans="3:8" ht="15" customHeight="1" x14ac:dyDescent="0.4">
      <c r="C161" s="70"/>
      <c r="D161" s="70"/>
      <c r="E161" s="66"/>
      <c r="F161" s="66"/>
      <c r="G161" s="66"/>
      <c r="H161" s="66"/>
    </row>
    <row r="162" spans="3:8" ht="15" customHeight="1" x14ac:dyDescent="0.4">
      <c r="C162" s="70"/>
      <c r="D162" s="70"/>
      <c r="E162" s="66"/>
      <c r="F162" s="66"/>
      <c r="G162" s="66"/>
      <c r="H162" s="66"/>
    </row>
    <row r="163" spans="3:8" ht="15" customHeight="1" x14ac:dyDescent="0.4">
      <c r="C163" s="70"/>
      <c r="D163" s="70"/>
      <c r="E163" s="66"/>
      <c r="F163" s="66"/>
      <c r="G163" s="66"/>
      <c r="H163" s="66"/>
    </row>
    <row r="164" spans="3:8" ht="15" customHeight="1" x14ac:dyDescent="0.4">
      <c r="C164" s="70"/>
      <c r="D164" s="70"/>
      <c r="E164" s="66"/>
      <c r="F164" s="66"/>
      <c r="G164" s="66"/>
      <c r="H164" s="66"/>
    </row>
    <row r="165" spans="3:8" ht="15" customHeight="1" x14ac:dyDescent="0.4">
      <c r="E165" s="66"/>
      <c r="F165" s="66"/>
      <c r="G165" s="66"/>
      <c r="H165" s="66"/>
    </row>
    <row r="166" spans="3:8" ht="15" customHeight="1" x14ac:dyDescent="0.4">
      <c r="E166" s="66"/>
      <c r="F166" s="66"/>
      <c r="G166" s="66"/>
      <c r="H166" s="66"/>
    </row>
    <row r="167" spans="3:8" ht="15" customHeight="1" x14ac:dyDescent="0.4">
      <c r="E167" s="66"/>
      <c r="F167" s="66"/>
      <c r="G167" s="66"/>
      <c r="H167" s="66"/>
    </row>
    <row r="168" spans="3:8" ht="15" customHeight="1" x14ac:dyDescent="0.4">
      <c r="E168" s="66"/>
      <c r="F168" s="66"/>
      <c r="G168" s="66"/>
      <c r="H168" s="66"/>
    </row>
    <row r="169" spans="3:8" ht="15" customHeight="1" x14ac:dyDescent="0.4">
      <c r="E169" s="66"/>
      <c r="F169" s="66"/>
      <c r="G169" s="66"/>
      <c r="H169" s="66"/>
    </row>
    <row r="170" spans="3:8" ht="15" customHeight="1" x14ac:dyDescent="0.4">
      <c r="E170" s="66"/>
      <c r="F170" s="66"/>
      <c r="G170" s="66"/>
      <c r="H170" s="66"/>
    </row>
    <row r="171" spans="3:8" ht="15" customHeight="1" x14ac:dyDescent="0.4">
      <c r="E171" s="66"/>
      <c r="F171" s="66"/>
      <c r="G171" s="66"/>
      <c r="H171" s="66"/>
    </row>
    <row r="172" spans="3:8" ht="15" customHeight="1" x14ac:dyDescent="0.4">
      <c r="E172" s="66"/>
      <c r="F172" s="66"/>
      <c r="G172" s="66"/>
      <c r="H172" s="66"/>
    </row>
    <row r="173" spans="3:8" ht="15" customHeight="1" x14ac:dyDescent="0.4">
      <c r="E173" s="66"/>
      <c r="F173" s="66"/>
      <c r="G173" s="66"/>
      <c r="H173" s="66"/>
    </row>
    <row r="174" spans="3:8" ht="15" customHeight="1" x14ac:dyDescent="0.4">
      <c r="E174" s="66"/>
      <c r="F174" s="66"/>
      <c r="G174" s="66"/>
      <c r="H174" s="66"/>
    </row>
    <row r="175" spans="3:8" ht="15" customHeight="1" x14ac:dyDescent="0.4">
      <c r="E175" s="66"/>
      <c r="F175" s="66"/>
      <c r="G175" s="66"/>
      <c r="H175" s="66"/>
    </row>
    <row r="176" spans="3:8" ht="15" customHeight="1" x14ac:dyDescent="0.4">
      <c r="E176" s="66"/>
      <c r="F176" s="66"/>
      <c r="G176" s="66"/>
      <c r="H176" s="66"/>
    </row>
    <row r="177" spans="5:8" ht="15" customHeight="1" x14ac:dyDescent="0.4">
      <c r="E177" s="66"/>
      <c r="F177" s="66"/>
      <c r="G177" s="66"/>
      <c r="H177" s="66"/>
    </row>
    <row r="178" spans="5:8" ht="15" customHeight="1" x14ac:dyDescent="0.4">
      <c r="E178" s="66"/>
      <c r="F178" s="66"/>
      <c r="G178" s="66"/>
      <c r="H178" s="66"/>
    </row>
    <row r="179" spans="5:8" ht="15" customHeight="1" x14ac:dyDescent="0.4">
      <c r="E179" s="66"/>
      <c r="F179" s="66"/>
      <c r="G179" s="66"/>
      <c r="H179" s="66"/>
    </row>
    <row r="180" spans="5:8" ht="15" customHeight="1" x14ac:dyDescent="0.4">
      <c r="E180" s="66"/>
      <c r="F180" s="66"/>
      <c r="G180" s="66"/>
      <c r="H180" s="66"/>
    </row>
    <row r="181" spans="5:8" ht="15" customHeight="1" x14ac:dyDescent="0.4">
      <c r="E181" s="66"/>
      <c r="F181" s="66"/>
      <c r="G181" s="66"/>
      <c r="H181" s="66"/>
    </row>
    <row r="182" spans="5:8" ht="15" customHeight="1" x14ac:dyDescent="0.4">
      <c r="E182" s="66"/>
      <c r="F182" s="66"/>
      <c r="G182" s="66"/>
      <c r="H182" s="66"/>
    </row>
    <row r="183" spans="5:8" ht="15" customHeight="1" x14ac:dyDescent="0.4">
      <c r="E183" s="66"/>
      <c r="F183" s="66"/>
      <c r="G183" s="66"/>
      <c r="H183" s="66"/>
    </row>
    <row r="184" spans="5:8" ht="15" customHeight="1" x14ac:dyDescent="0.4">
      <c r="E184" s="66"/>
      <c r="F184" s="66"/>
      <c r="G184" s="66"/>
      <c r="H184" s="66"/>
    </row>
    <row r="185" spans="5:8" ht="15" customHeight="1" x14ac:dyDescent="0.4">
      <c r="E185" s="66"/>
      <c r="F185" s="66"/>
      <c r="G185" s="66"/>
      <c r="H185" s="66"/>
    </row>
    <row r="186" spans="5:8" ht="15" customHeight="1" x14ac:dyDescent="0.4">
      <c r="E186" s="66"/>
      <c r="F186" s="66"/>
      <c r="G186" s="66"/>
      <c r="H186" s="66"/>
    </row>
    <row r="187" spans="5:8" ht="15" customHeight="1" x14ac:dyDescent="0.4">
      <c r="E187" s="66"/>
      <c r="F187" s="66"/>
      <c r="G187" s="66"/>
      <c r="H187" s="66"/>
    </row>
    <row r="188" spans="5:8" ht="15" customHeight="1" x14ac:dyDescent="0.4">
      <c r="E188" s="66"/>
      <c r="F188" s="66"/>
      <c r="G188" s="66"/>
      <c r="H188" s="66"/>
    </row>
    <row r="189" spans="5:8" ht="15" customHeight="1" x14ac:dyDescent="0.4">
      <c r="E189" s="66"/>
      <c r="F189" s="66"/>
      <c r="G189" s="66"/>
      <c r="H189" s="66"/>
    </row>
    <row r="190" spans="5:8" ht="15" customHeight="1" x14ac:dyDescent="0.4">
      <c r="E190" s="66"/>
      <c r="F190" s="66"/>
      <c r="G190" s="66"/>
      <c r="H190" s="66"/>
    </row>
    <row r="191" spans="5:8" ht="15" customHeight="1" x14ac:dyDescent="0.4">
      <c r="E191" s="66"/>
      <c r="F191" s="66"/>
      <c r="G191" s="66"/>
      <c r="H191" s="66"/>
    </row>
    <row r="192" spans="5:8" ht="15" customHeight="1" x14ac:dyDescent="0.4">
      <c r="E192" s="66"/>
      <c r="F192" s="66"/>
      <c r="G192" s="66"/>
      <c r="H192" s="66"/>
    </row>
    <row r="193" spans="5:8" ht="15" customHeight="1" x14ac:dyDescent="0.4">
      <c r="E193" s="66"/>
      <c r="F193" s="66"/>
      <c r="G193" s="66"/>
      <c r="H193" s="66"/>
    </row>
    <row r="194" spans="5:8" ht="15" customHeight="1" x14ac:dyDescent="0.4">
      <c r="E194" s="66"/>
      <c r="F194" s="66"/>
      <c r="G194" s="66"/>
      <c r="H194" s="66"/>
    </row>
    <row r="195" spans="5:8" ht="15" customHeight="1" x14ac:dyDescent="0.4">
      <c r="E195" s="66"/>
      <c r="F195" s="66"/>
      <c r="G195" s="66"/>
      <c r="H195" s="66"/>
    </row>
    <row r="196" spans="5:8" ht="15" customHeight="1" x14ac:dyDescent="0.4">
      <c r="E196" s="66"/>
      <c r="F196" s="66"/>
      <c r="G196" s="66"/>
      <c r="H196" s="66"/>
    </row>
    <row r="197" spans="5:8" ht="15" customHeight="1" x14ac:dyDescent="0.4">
      <c r="E197" s="66"/>
      <c r="F197" s="66"/>
      <c r="G197" s="66"/>
      <c r="H197" s="66"/>
    </row>
    <row r="198" spans="5:8" ht="15" customHeight="1" x14ac:dyDescent="0.4">
      <c r="E198" s="66"/>
      <c r="F198" s="66"/>
      <c r="G198" s="66"/>
      <c r="H198" s="66"/>
    </row>
    <row r="199" spans="5:8" ht="15" customHeight="1" x14ac:dyDescent="0.4">
      <c r="E199" s="66"/>
      <c r="F199" s="66"/>
      <c r="G199" s="66"/>
      <c r="H199" s="66"/>
    </row>
    <row r="200" spans="5:8" ht="15" customHeight="1" x14ac:dyDescent="0.4">
      <c r="E200" s="66"/>
      <c r="F200" s="66"/>
      <c r="G200" s="66"/>
      <c r="H200" s="66"/>
    </row>
    <row r="201" spans="5:8" ht="15" customHeight="1" x14ac:dyDescent="0.4">
      <c r="E201" s="66"/>
      <c r="F201" s="66"/>
      <c r="G201" s="66"/>
      <c r="H201" s="66"/>
    </row>
    <row r="202" spans="5:8" ht="15" customHeight="1" x14ac:dyDescent="0.4">
      <c r="E202" s="66"/>
      <c r="F202" s="66"/>
      <c r="G202" s="66"/>
      <c r="H202" s="66"/>
    </row>
    <row r="203" spans="5:8" ht="15" customHeight="1" x14ac:dyDescent="0.4">
      <c r="E203" s="66"/>
      <c r="F203" s="66"/>
      <c r="G203" s="66"/>
      <c r="H203" s="66"/>
    </row>
    <row r="204" spans="5:8" ht="15" customHeight="1" x14ac:dyDescent="0.4">
      <c r="E204" s="66"/>
      <c r="F204" s="66"/>
      <c r="G204" s="66"/>
      <c r="H204" s="66"/>
    </row>
    <row r="205" spans="5:8" ht="15" customHeight="1" x14ac:dyDescent="0.4">
      <c r="E205" s="66"/>
      <c r="F205" s="66"/>
      <c r="G205" s="66"/>
      <c r="H205" s="66"/>
    </row>
    <row r="206" spans="5:8" ht="15" customHeight="1" x14ac:dyDescent="0.4">
      <c r="E206" s="66"/>
      <c r="F206" s="66"/>
      <c r="G206" s="66"/>
      <c r="H206" s="66"/>
    </row>
    <row r="207" spans="5:8" ht="15" customHeight="1" x14ac:dyDescent="0.4">
      <c r="E207" s="66"/>
      <c r="F207" s="66"/>
      <c r="G207" s="66"/>
      <c r="H207" s="66"/>
    </row>
    <row r="208" spans="5:8" ht="15" customHeight="1" x14ac:dyDescent="0.4">
      <c r="E208" s="66"/>
      <c r="F208" s="66"/>
      <c r="G208" s="66"/>
      <c r="H208" s="66"/>
    </row>
    <row r="209" spans="5:8" ht="15" customHeight="1" x14ac:dyDescent="0.4">
      <c r="E209" s="66"/>
      <c r="F209" s="66"/>
      <c r="G209" s="66"/>
      <c r="H209" s="66"/>
    </row>
    <row r="210" spans="5:8" ht="15" customHeight="1" x14ac:dyDescent="0.4">
      <c r="E210" s="66"/>
      <c r="F210" s="66"/>
      <c r="G210" s="66"/>
      <c r="H210" s="66"/>
    </row>
    <row r="211" spans="5:8" ht="15" customHeight="1" x14ac:dyDescent="0.4">
      <c r="E211" s="66"/>
      <c r="F211" s="66"/>
      <c r="G211" s="66"/>
      <c r="H211" s="66"/>
    </row>
    <row r="212" spans="5:8" ht="15" customHeight="1" x14ac:dyDescent="0.4">
      <c r="E212" s="66"/>
      <c r="F212" s="66"/>
      <c r="G212" s="66"/>
      <c r="H212" s="66"/>
    </row>
    <row r="213" spans="5:8" ht="15" customHeight="1" x14ac:dyDescent="0.4">
      <c r="E213" s="66"/>
      <c r="F213" s="66"/>
      <c r="G213" s="66"/>
      <c r="H213" s="66"/>
    </row>
    <row r="214" spans="5:8" ht="15" customHeight="1" x14ac:dyDescent="0.4">
      <c r="E214" s="66"/>
      <c r="F214" s="66"/>
      <c r="G214" s="66"/>
      <c r="H214" s="66"/>
    </row>
    <row r="215" spans="5:8" ht="15" customHeight="1" x14ac:dyDescent="0.4">
      <c r="E215" s="66"/>
      <c r="F215" s="66"/>
      <c r="G215" s="66"/>
      <c r="H215" s="66"/>
    </row>
    <row r="216" spans="5:8" ht="15" customHeight="1" x14ac:dyDescent="0.4">
      <c r="E216" s="66"/>
      <c r="F216" s="66"/>
      <c r="G216" s="66"/>
      <c r="H216" s="66"/>
    </row>
    <row r="217" spans="5:8" ht="15" customHeight="1" x14ac:dyDescent="0.4">
      <c r="E217" s="66"/>
      <c r="F217" s="66"/>
      <c r="G217" s="66"/>
      <c r="H217" s="66"/>
    </row>
    <row r="218" spans="5:8" ht="15" customHeight="1" x14ac:dyDescent="0.4">
      <c r="E218" s="66"/>
      <c r="F218" s="66"/>
      <c r="G218" s="66"/>
      <c r="H218" s="66"/>
    </row>
    <row r="219" spans="5:8" ht="15" customHeight="1" x14ac:dyDescent="0.4">
      <c r="E219" s="66"/>
      <c r="F219" s="66"/>
      <c r="G219" s="66"/>
      <c r="H219" s="66"/>
    </row>
    <row r="220" spans="5:8" ht="15" customHeight="1" x14ac:dyDescent="0.4">
      <c r="E220" s="66"/>
      <c r="F220" s="66"/>
      <c r="G220" s="66"/>
      <c r="H220" s="66"/>
    </row>
    <row r="221" spans="5:8" ht="15" customHeight="1" x14ac:dyDescent="0.4">
      <c r="E221" s="66"/>
      <c r="F221" s="66"/>
      <c r="G221" s="66"/>
      <c r="H221" s="66"/>
    </row>
    <row r="222" spans="5:8" ht="15" customHeight="1" x14ac:dyDescent="0.4">
      <c r="E222" s="66"/>
      <c r="F222" s="66"/>
      <c r="G222" s="66"/>
      <c r="H222" s="66"/>
    </row>
    <row r="223" spans="5:8" ht="15" customHeight="1" x14ac:dyDescent="0.4">
      <c r="E223" s="66"/>
      <c r="F223" s="66"/>
      <c r="G223" s="66"/>
      <c r="H223" s="66"/>
    </row>
    <row r="224" spans="5:8" ht="15" customHeight="1" x14ac:dyDescent="0.4">
      <c r="E224" s="66"/>
      <c r="F224" s="66"/>
      <c r="G224" s="66"/>
      <c r="H224" s="66"/>
    </row>
    <row r="225" spans="5:8" ht="15" customHeight="1" x14ac:dyDescent="0.4">
      <c r="E225" s="66"/>
      <c r="F225" s="66"/>
      <c r="G225" s="66"/>
      <c r="H225" s="66"/>
    </row>
    <row r="226" spans="5:8" ht="15" customHeight="1" x14ac:dyDescent="0.4">
      <c r="E226" s="66"/>
      <c r="F226" s="66"/>
      <c r="G226" s="66"/>
      <c r="H226" s="66"/>
    </row>
    <row r="227" spans="5:8" ht="15" customHeight="1" x14ac:dyDescent="0.4">
      <c r="E227" s="66"/>
      <c r="F227" s="66"/>
      <c r="G227" s="66"/>
      <c r="H227" s="66"/>
    </row>
    <row r="228" spans="5:8" ht="15" customHeight="1" x14ac:dyDescent="0.4">
      <c r="E228" s="66"/>
      <c r="F228" s="66"/>
      <c r="G228" s="66"/>
      <c r="H228" s="66"/>
    </row>
    <row r="229" spans="5:8" ht="15" customHeight="1" x14ac:dyDescent="0.4">
      <c r="E229" s="66"/>
      <c r="F229" s="66"/>
      <c r="G229" s="66"/>
      <c r="H229" s="66"/>
    </row>
    <row r="230" spans="5:8" ht="15" customHeight="1" x14ac:dyDescent="0.4">
      <c r="E230" s="66"/>
      <c r="F230" s="66"/>
      <c r="G230" s="66"/>
      <c r="H230" s="66"/>
    </row>
    <row r="231" spans="5:8" ht="15" customHeight="1" x14ac:dyDescent="0.4">
      <c r="E231" s="66"/>
      <c r="F231" s="66"/>
      <c r="G231" s="66"/>
      <c r="H231" s="66"/>
    </row>
    <row r="232" spans="5:8" ht="15" customHeight="1" x14ac:dyDescent="0.4">
      <c r="E232" s="66"/>
      <c r="F232" s="66"/>
      <c r="G232" s="66"/>
      <c r="H232" s="66"/>
    </row>
    <row r="233" spans="5:8" ht="15" customHeight="1" x14ac:dyDescent="0.4">
      <c r="E233" s="66"/>
      <c r="F233" s="66"/>
      <c r="G233" s="66"/>
      <c r="H233" s="66"/>
    </row>
    <row r="234" spans="5:8" ht="15" customHeight="1" x14ac:dyDescent="0.4">
      <c r="E234" s="66"/>
      <c r="F234" s="66"/>
      <c r="G234" s="66"/>
      <c r="H234" s="66"/>
    </row>
    <row r="235" spans="5:8" ht="15" customHeight="1" x14ac:dyDescent="0.4">
      <c r="E235" s="66"/>
      <c r="F235" s="66"/>
      <c r="G235" s="66"/>
      <c r="H235" s="66"/>
    </row>
    <row r="236" spans="5:8" ht="15" customHeight="1" x14ac:dyDescent="0.4">
      <c r="E236" s="66"/>
      <c r="F236" s="66"/>
      <c r="G236" s="66"/>
      <c r="H236" s="66"/>
    </row>
    <row r="237" spans="5:8" ht="15" customHeight="1" x14ac:dyDescent="0.4">
      <c r="E237" s="66"/>
      <c r="F237" s="66"/>
      <c r="G237" s="66"/>
      <c r="H237" s="66"/>
    </row>
    <row r="238" spans="5:8" ht="15" customHeight="1" x14ac:dyDescent="0.4">
      <c r="E238" s="66"/>
      <c r="F238" s="66"/>
      <c r="G238" s="66"/>
      <c r="H238" s="66"/>
    </row>
    <row r="239" spans="5:8" ht="15" customHeight="1" x14ac:dyDescent="0.4">
      <c r="E239" s="66"/>
      <c r="F239" s="66"/>
      <c r="G239" s="66"/>
      <c r="H239" s="66"/>
    </row>
    <row r="240" spans="5:8" ht="15" customHeight="1" x14ac:dyDescent="0.4">
      <c r="E240" s="66"/>
      <c r="F240" s="66"/>
      <c r="G240" s="66"/>
      <c r="H240" s="66"/>
    </row>
    <row r="241" spans="5:8" ht="15" customHeight="1" x14ac:dyDescent="0.4">
      <c r="E241" s="66"/>
      <c r="F241" s="66"/>
      <c r="G241" s="66"/>
      <c r="H241" s="66"/>
    </row>
    <row r="242" spans="5:8" ht="15" customHeight="1" x14ac:dyDescent="0.4">
      <c r="E242" s="66"/>
      <c r="F242" s="66"/>
      <c r="G242" s="66"/>
      <c r="H242" s="66"/>
    </row>
    <row r="243" spans="5:8" ht="15" customHeight="1" x14ac:dyDescent="0.4">
      <c r="E243" s="66"/>
      <c r="F243" s="66"/>
      <c r="G243" s="66"/>
      <c r="H243" s="66"/>
    </row>
    <row r="244" spans="5:8" ht="15" customHeight="1" x14ac:dyDescent="0.4">
      <c r="E244" s="66"/>
      <c r="F244" s="66"/>
      <c r="G244" s="66"/>
      <c r="H244" s="66"/>
    </row>
    <row r="245" spans="5:8" ht="15" customHeight="1" x14ac:dyDescent="0.4">
      <c r="E245" s="66"/>
      <c r="F245" s="66"/>
      <c r="G245" s="66"/>
      <c r="H245" s="66"/>
    </row>
    <row r="246" spans="5:8" ht="15" customHeight="1" x14ac:dyDescent="0.4">
      <c r="E246" s="66"/>
      <c r="F246" s="66"/>
      <c r="G246" s="66"/>
      <c r="H246" s="66"/>
    </row>
    <row r="247" spans="5:8" ht="15" customHeight="1" x14ac:dyDescent="0.4">
      <c r="E247" s="66"/>
      <c r="F247" s="66"/>
      <c r="G247" s="66"/>
      <c r="H247" s="66"/>
    </row>
    <row r="248" spans="5:8" ht="15" customHeight="1" x14ac:dyDescent="0.4">
      <c r="E248" s="66"/>
      <c r="F248" s="66"/>
      <c r="G248" s="66"/>
      <c r="H248" s="66"/>
    </row>
    <row r="249" spans="5:8" ht="15" customHeight="1" x14ac:dyDescent="0.4">
      <c r="E249" s="66"/>
      <c r="F249" s="66"/>
      <c r="G249" s="66"/>
      <c r="H249" s="66"/>
    </row>
    <row r="250" spans="5:8" ht="15" customHeight="1" x14ac:dyDescent="0.4">
      <c r="E250" s="66"/>
      <c r="F250" s="66"/>
      <c r="G250" s="66"/>
      <c r="H250" s="66"/>
    </row>
    <row r="251" spans="5:8" ht="15" customHeight="1" x14ac:dyDescent="0.4">
      <c r="E251" s="66"/>
      <c r="F251" s="66"/>
      <c r="G251" s="66"/>
      <c r="H251" s="66"/>
    </row>
    <row r="252" spans="5:8" ht="15" customHeight="1" x14ac:dyDescent="0.4">
      <c r="E252" s="66"/>
      <c r="F252" s="66"/>
      <c r="G252" s="66"/>
      <c r="H252" s="66"/>
    </row>
    <row r="253" spans="5:8" ht="15" customHeight="1" x14ac:dyDescent="0.4">
      <c r="E253" s="66"/>
      <c r="F253" s="66"/>
      <c r="G253" s="66"/>
      <c r="H253" s="66"/>
    </row>
    <row r="254" spans="5:8" ht="15" customHeight="1" x14ac:dyDescent="0.4">
      <c r="E254" s="66"/>
      <c r="F254" s="66"/>
      <c r="G254" s="66"/>
      <c r="H254" s="66"/>
    </row>
    <row r="255" spans="5:8" ht="15" customHeight="1" x14ac:dyDescent="0.4">
      <c r="E255" s="66"/>
      <c r="F255" s="66"/>
      <c r="G255" s="66"/>
      <c r="H255" s="66"/>
    </row>
    <row r="256" spans="5:8" ht="15" customHeight="1" x14ac:dyDescent="0.4">
      <c r="E256" s="66"/>
      <c r="F256" s="66"/>
      <c r="G256" s="66"/>
      <c r="H256" s="66"/>
    </row>
    <row r="257" spans="5:8" ht="15" customHeight="1" x14ac:dyDescent="0.4">
      <c r="E257" s="66"/>
      <c r="F257" s="66"/>
      <c r="G257" s="66"/>
      <c r="H257" s="66"/>
    </row>
    <row r="258" spans="5:8" ht="15" customHeight="1" x14ac:dyDescent="0.4">
      <c r="E258" s="66"/>
      <c r="F258" s="66"/>
      <c r="G258" s="66"/>
      <c r="H258" s="66"/>
    </row>
    <row r="259" spans="5:8" ht="15" customHeight="1" x14ac:dyDescent="0.4">
      <c r="E259" s="66"/>
      <c r="F259" s="66"/>
      <c r="G259" s="66"/>
      <c r="H259" s="66"/>
    </row>
    <row r="260" spans="5:8" ht="15" customHeight="1" x14ac:dyDescent="0.4">
      <c r="E260" s="66"/>
      <c r="F260" s="66"/>
      <c r="G260" s="66"/>
      <c r="H260" s="66"/>
    </row>
    <row r="261" spans="5:8" ht="15" customHeight="1" x14ac:dyDescent="0.4">
      <c r="E261" s="66"/>
      <c r="F261" s="66"/>
      <c r="G261" s="66"/>
      <c r="H261" s="66"/>
    </row>
    <row r="262" spans="5:8" ht="15" customHeight="1" x14ac:dyDescent="0.4">
      <c r="E262" s="66"/>
      <c r="F262" s="66"/>
      <c r="G262" s="66"/>
      <c r="H262" s="66"/>
    </row>
    <row r="263" spans="5:8" ht="15" customHeight="1" x14ac:dyDescent="0.4">
      <c r="E263" s="66"/>
      <c r="F263" s="66"/>
      <c r="G263" s="66"/>
      <c r="H263" s="66"/>
    </row>
    <row r="264" spans="5:8" ht="15" customHeight="1" x14ac:dyDescent="0.4">
      <c r="E264" s="66"/>
      <c r="F264" s="66"/>
      <c r="G264" s="66"/>
      <c r="H264" s="66"/>
    </row>
    <row r="265" spans="5:8" ht="15" customHeight="1" x14ac:dyDescent="0.4">
      <c r="E265" s="66"/>
      <c r="F265" s="66"/>
      <c r="G265" s="66"/>
      <c r="H265" s="66"/>
    </row>
    <row r="266" spans="5:8" ht="15" customHeight="1" x14ac:dyDescent="0.4">
      <c r="E266" s="66"/>
      <c r="F266" s="66"/>
      <c r="G266" s="66"/>
      <c r="H266" s="66"/>
    </row>
    <row r="267" spans="5:8" ht="15" customHeight="1" x14ac:dyDescent="0.4">
      <c r="E267" s="66"/>
      <c r="F267" s="66"/>
      <c r="G267" s="66"/>
      <c r="H267" s="66"/>
    </row>
    <row r="268" spans="5:8" ht="15" customHeight="1" x14ac:dyDescent="0.4">
      <c r="E268" s="66"/>
      <c r="F268" s="66"/>
      <c r="G268" s="66"/>
      <c r="H268" s="66"/>
    </row>
    <row r="269" spans="5:8" ht="15" customHeight="1" x14ac:dyDescent="0.4">
      <c r="E269" s="66"/>
      <c r="F269" s="66"/>
      <c r="G269" s="66"/>
      <c r="H269" s="66"/>
    </row>
    <row r="270" spans="5:8" ht="15" customHeight="1" x14ac:dyDescent="0.4">
      <c r="E270" s="66"/>
      <c r="F270" s="66"/>
      <c r="G270" s="66"/>
      <c r="H270" s="66"/>
    </row>
    <row r="271" spans="5:8" ht="15" customHeight="1" x14ac:dyDescent="0.4">
      <c r="E271" s="66"/>
      <c r="F271" s="66"/>
      <c r="G271" s="66"/>
      <c r="H271" s="66"/>
    </row>
    <row r="272" spans="5:8" ht="15" customHeight="1" x14ac:dyDescent="0.4">
      <c r="E272" s="66"/>
      <c r="F272" s="66"/>
      <c r="G272" s="66"/>
      <c r="H272" s="66"/>
    </row>
    <row r="273" spans="5:8" ht="15" customHeight="1" x14ac:dyDescent="0.4">
      <c r="E273" s="66"/>
      <c r="F273" s="66"/>
      <c r="G273" s="66"/>
      <c r="H273" s="66"/>
    </row>
    <row r="274" spans="5:8" ht="15" customHeight="1" x14ac:dyDescent="0.4">
      <c r="E274" s="66"/>
      <c r="F274" s="66"/>
      <c r="G274" s="66"/>
      <c r="H274" s="66"/>
    </row>
    <row r="275" spans="5:8" ht="15" customHeight="1" x14ac:dyDescent="0.4">
      <c r="E275" s="66"/>
      <c r="F275" s="66"/>
      <c r="G275" s="66"/>
      <c r="H275" s="66"/>
    </row>
    <row r="276" spans="5:8" ht="15" customHeight="1" x14ac:dyDescent="0.4">
      <c r="E276" s="66"/>
      <c r="F276" s="66"/>
      <c r="G276" s="66"/>
      <c r="H276" s="66"/>
    </row>
    <row r="277" spans="5:8" ht="15" customHeight="1" x14ac:dyDescent="0.4">
      <c r="E277" s="66"/>
      <c r="F277" s="66"/>
      <c r="G277" s="66"/>
      <c r="H277" s="66"/>
    </row>
    <row r="278" spans="5:8" ht="15" customHeight="1" x14ac:dyDescent="0.4">
      <c r="E278" s="66"/>
      <c r="F278" s="66"/>
      <c r="G278" s="66"/>
      <c r="H278" s="66"/>
    </row>
    <row r="279" spans="5:8" ht="15" customHeight="1" x14ac:dyDescent="0.4">
      <c r="E279" s="66"/>
      <c r="F279" s="66"/>
      <c r="G279" s="66"/>
      <c r="H279" s="66"/>
    </row>
    <row r="280" spans="5:8" ht="15" customHeight="1" x14ac:dyDescent="0.4">
      <c r="E280" s="66"/>
      <c r="F280" s="66"/>
      <c r="G280" s="66"/>
      <c r="H280" s="66"/>
    </row>
    <row r="281" spans="5:8" ht="15" customHeight="1" x14ac:dyDescent="0.4">
      <c r="E281" s="66"/>
      <c r="F281" s="66"/>
      <c r="G281" s="66"/>
      <c r="H281" s="66"/>
    </row>
    <row r="282" spans="5:8" ht="15" customHeight="1" x14ac:dyDescent="0.4">
      <c r="E282" s="66"/>
      <c r="F282" s="66"/>
      <c r="G282" s="66"/>
      <c r="H282" s="66"/>
    </row>
    <row r="283" spans="5:8" ht="15" customHeight="1" x14ac:dyDescent="0.4">
      <c r="E283" s="66"/>
      <c r="F283" s="66"/>
      <c r="G283" s="66"/>
      <c r="H283" s="66"/>
    </row>
    <row r="284" spans="5:8" ht="15" customHeight="1" x14ac:dyDescent="0.4">
      <c r="E284" s="66"/>
      <c r="F284" s="66"/>
      <c r="G284" s="66"/>
      <c r="H284" s="66"/>
    </row>
    <row r="285" spans="5:8" ht="15" customHeight="1" x14ac:dyDescent="0.4">
      <c r="E285" s="66"/>
      <c r="F285" s="66"/>
      <c r="G285" s="66"/>
      <c r="H285" s="66"/>
    </row>
    <row r="286" spans="5:8" ht="15" customHeight="1" x14ac:dyDescent="0.4">
      <c r="E286" s="66"/>
      <c r="F286" s="66"/>
      <c r="G286" s="66"/>
      <c r="H286" s="66"/>
    </row>
    <row r="287" spans="5:8" ht="15" customHeight="1" x14ac:dyDescent="0.4">
      <c r="E287" s="66"/>
      <c r="F287" s="66"/>
      <c r="G287" s="66"/>
      <c r="H287" s="66"/>
    </row>
    <row r="288" spans="5:8" ht="15" customHeight="1" x14ac:dyDescent="0.4">
      <c r="E288" s="66"/>
      <c r="F288" s="66"/>
      <c r="G288" s="66"/>
      <c r="H288" s="66"/>
    </row>
    <row r="289" spans="5:8" ht="15" customHeight="1" x14ac:dyDescent="0.4">
      <c r="E289" s="66"/>
      <c r="F289" s="66"/>
      <c r="G289" s="66"/>
      <c r="H289" s="66"/>
    </row>
    <row r="290" spans="5:8" ht="15" customHeight="1" x14ac:dyDescent="0.4">
      <c r="E290" s="66"/>
      <c r="F290" s="66"/>
      <c r="G290" s="66"/>
      <c r="H290" s="66"/>
    </row>
    <row r="291" spans="5:8" ht="15" customHeight="1" x14ac:dyDescent="0.4">
      <c r="E291" s="66"/>
      <c r="F291" s="66"/>
      <c r="G291" s="66"/>
      <c r="H291" s="66"/>
    </row>
    <row r="292" spans="5:8" ht="15" customHeight="1" x14ac:dyDescent="0.4">
      <c r="E292" s="66"/>
      <c r="F292" s="66"/>
      <c r="G292" s="66"/>
      <c r="H292" s="66"/>
    </row>
    <row r="293" spans="5:8" ht="15" customHeight="1" x14ac:dyDescent="0.4">
      <c r="E293" s="66"/>
      <c r="F293" s="66"/>
      <c r="G293" s="66"/>
      <c r="H293" s="66"/>
    </row>
    <row r="294" spans="5:8" ht="15" customHeight="1" x14ac:dyDescent="0.4">
      <c r="E294" s="66"/>
      <c r="F294" s="66"/>
      <c r="G294" s="66"/>
      <c r="H294" s="66"/>
    </row>
    <row r="295" spans="5:8" ht="15" customHeight="1" x14ac:dyDescent="0.4">
      <c r="E295" s="66"/>
      <c r="F295" s="66"/>
      <c r="G295" s="66"/>
      <c r="H295" s="66"/>
    </row>
    <row r="296" spans="5:8" ht="15" customHeight="1" x14ac:dyDescent="0.4">
      <c r="E296" s="66"/>
      <c r="F296" s="66"/>
      <c r="G296" s="66"/>
      <c r="H296" s="66"/>
    </row>
    <row r="297" spans="5:8" ht="15" customHeight="1" x14ac:dyDescent="0.4">
      <c r="E297" s="66"/>
      <c r="F297" s="66"/>
      <c r="G297" s="66"/>
      <c r="H297" s="66"/>
    </row>
    <row r="298" spans="5:8" ht="15" customHeight="1" x14ac:dyDescent="0.4">
      <c r="E298" s="66"/>
      <c r="F298" s="66"/>
      <c r="G298" s="66"/>
      <c r="H298" s="66"/>
    </row>
    <row r="299" spans="5:8" ht="15" customHeight="1" x14ac:dyDescent="0.4">
      <c r="E299" s="66"/>
      <c r="F299" s="66"/>
      <c r="G299" s="66"/>
      <c r="H299" s="66"/>
    </row>
    <row r="300" spans="5:8" ht="15" customHeight="1" x14ac:dyDescent="0.4">
      <c r="E300" s="66"/>
      <c r="F300" s="66"/>
      <c r="G300" s="66"/>
      <c r="H300" s="66"/>
    </row>
    <row r="301" spans="5:8" ht="15" customHeight="1" x14ac:dyDescent="0.4">
      <c r="E301" s="66"/>
      <c r="F301" s="66"/>
      <c r="G301" s="66"/>
      <c r="H301" s="66"/>
    </row>
    <row r="302" spans="5:8" ht="15" customHeight="1" x14ac:dyDescent="0.4">
      <c r="E302" s="66"/>
      <c r="F302" s="66"/>
      <c r="G302" s="66"/>
      <c r="H302" s="66"/>
    </row>
    <row r="303" spans="5:8" ht="15" customHeight="1" x14ac:dyDescent="0.4">
      <c r="E303" s="66"/>
      <c r="F303" s="66"/>
      <c r="G303" s="66"/>
      <c r="H303" s="66"/>
    </row>
    <row r="304" spans="5:8" ht="15" customHeight="1" x14ac:dyDescent="0.4">
      <c r="E304" s="66"/>
      <c r="F304" s="66"/>
      <c r="G304" s="66"/>
      <c r="H304" s="66"/>
    </row>
    <row r="305" spans="5:8" ht="15" customHeight="1" x14ac:dyDescent="0.4">
      <c r="E305" s="66"/>
      <c r="F305" s="66"/>
      <c r="G305" s="66"/>
      <c r="H305" s="66"/>
    </row>
    <row r="306" spans="5:8" ht="15" customHeight="1" x14ac:dyDescent="0.4">
      <c r="E306" s="66"/>
      <c r="F306" s="66"/>
      <c r="G306" s="66"/>
      <c r="H306" s="66"/>
    </row>
    <row r="307" spans="5:8" ht="15" customHeight="1" x14ac:dyDescent="0.4">
      <c r="E307" s="66"/>
      <c r="F307" s="66"/>
      <c r="G307" s="66"/>
      <c r="H307" s="66"/>
    </row>
    <row r="308" spans="5:8" ht="15" customHeight="1" x14ac:dyDescent="0.4">
      <c r="E308" s="66"/>
      <c r="F308" s="66"/>
      <c r="G308" s="66"/>
      <c r="H308" s="66"/>
    </row>
    <row r="309" spans="5:8" ht="15" customHeight="1" x14ac:dyDescent="0.4">
      <c r="E309" s="66"/>
      <c r="F309" s="66"/>
      <c r="G309" s="66"/>
      <c r="H309" s="66"/>
    </row>
    <row r="310" spans="5:8" ht="15" customHeight="1" x14ac:dyDescent="0.4">
      <c r="E310" s="66"/>
      <c r="F310" s="66"/>
      <c r="G310" s="66"/>
      <c r="H310" s="66"/>
    </row>
    <row r="311" spans="5:8" ht="15" customHeight="1" x14ac:dyDescent="0.4">
      <c r="E311" s="66"/>
      <c r="F311" s="66"/>
      <c r="G311" s="66"/>
      <c r="H311" s="66"/>
    </row>
    <row r="312" spans="5:8" ht="15" customHeight="1" x14ac:dyDescent="0.4">
      <c r="E312" s="66"/>
      <c r="F312" s="66"/>
      <c r="G312" s="66"/>
      <c r="H312" s="66"/>
    </row>
    <row r="313" spans="5:8" ht="15" customHeight="1" x14ac:dyDescent="0.4">
      <c r="E313" s="66"/>
      <c r="F313" s="66"/>
      <c r="G313" s="66"/>
      <c r="H313" s="66"/>
    </row>
    <row r="314" spans="5:8" ht="15" customHeight="1" x14ac:dyDescent="0.4">
      <c r="E314" s="66"/>
      <c r="F314" s="66"/>
      <c r="G314" s="66"/>
      <c r="H314" s="66"/>
    </row>
    <row r="315" spans="5:8" ht="15" customHeight="1" x14ac:dyDescent="0.4">
      <c r="E315" s="66"/>
      <c r="F315" s="66"/>
      <c r="G315" s="66"/>
      <c r="H315" s="66"/>
    </row>
    <row r="316" spans="5:8" ht="15" customHeight="1" x14ac:dyDescent="0.4">
      <c r="E316" s="66"/>
      <c r="F316" s="66"/>
      <c r="G316" s="66"/>
      <c r="H316" s="66"/>
    </row>
    <row r="317" spans="5:8" ht="15" customHeight="1" x14ac:dyDescent="0.4">
      <c r="E317" s="66"/>
      <c r="F317" s="66"/>
      <c r="G317" s="66"/>
      <c r="H317" s="66"/>
    </row>
    <row r="318" spans="5:8" ht="15" customHeight="1" x14ac:dyDescent="0.4">
      <c r="E318" s="66"/>
      <c r="F318" s="66"/>
      <c r="G318" s="66"/>
      <c r="H318" s="66"/>
    </row>
    <row r="319" spans="5:8" ht="15" customHeight="1" x14ac:dyDescent="0.4">
      <c r="E319" s="66"/>
      <c r="F319" s="66"/>
      <c r="G319" s="66"/>
      <c r="H319" s="66"/>
    </row>
    <row r="320" spans="5:8" ht="15" customHeight="1" x14ac:dyDescent="0.4">
      <c r="E320" s="66"/>
      <c r="F320" s="66"/>
      <c r="G320" s="66"/>
      <c r="H320" s="66"/>
    </row>
    <row r="321" spans="5:8" ht="15" customHeight="1" x14ac:dyDescent="0.4">
      <c r="E321" s="66"/>
      <c r="F321" s="66"/>
      <c r="G321" s="66"/>
      <c r="H321" s="66"/>
    </row>
    <row r="322" spans="5:8" ht="15" customHeight="1" x14ac:dyDescent="0.4">
      <c r="E322" s="66"/>
      <c r="F322" s="66"/>
      <c r="G322" s="66"/>
      <c r="H322" s="66"/>
    </row>
    <row r="323" spans="5:8" ht="15" customHeight="1" x14ac:dyDescent="0.4">
      <c r="E323" s="66"/>
      <c r="F323" s="66"/>
      <c r="G323" s="66"/>
      <c r="H323" s="66"/>
    </row>
    <row r="324" spans="5:8" ht="15" customHeight="1" x14ac:dyDescent="0.4">
      <c r="E324" s="66"/>
      <c r="F324" s="66"/>
      <c r="G324" s="66"/>
      <c r="H324" s="66"/>
    </row>
    <row r="325" spans="5:8" ht="15" customHeight="1" x14ac:dyDescent="0.4">
      <c r="E325" s="66"/>
      <c r="F325" s="66"/>
      <c r="G325" s="66"/>
      <c r="H325" s="66"/>
    </row>
    <row r="326" spans="5:8" ht="15" customHeight="1" x14ac:dyDescent="0.4">
      <c r="E326" s="66"/>
      <c r="F326" s="66"/>
      <c r="G326" s="66"/>
      <c r="H326" s="66"/>
    </row>
    <row r="327" spans="5:8" ht="15" customHeight="1" x14ac:dyDescent="0.4">
      <c r="E327" s="66"/>
      <c r="F327" s="66"/>
      <c r="G327" s="66"/>
      <c r="H327" s="66"/>
    </row>
    <row r="328" spans="5:8" ht="15" customHeight="1" x14ac:dyDescent="0.4">
      <c r="E328" s="66"/>
      <c r="F328" s="66"/>
      <c r="G328" s="66"/>
      <c r="H328" s="66"/>
    </row>
    <row r="329" spans="5:8" ht="15" customHeight="1" x14ac:dyDescent="0.4">
      <c r="E329" s="66"/>
      <c r="F329" s="66"/>
      <c r="G329" s="66"/>
      <c r="H329" s="66"/>
    </row>
    <row r="330" spans="5:8" ht="15" customHeight="1" x14ac:dyDescent="0.4">
      <c r="E330" s="66"/>
      <c r="F330" s="66"/>
      <c r="G330" s="66"/>
      <c r="H330" s="66"/>
    </row>
    <row r="331" spans="5:8" ht="15" customHeight="1" x14ac:dyDescent="0.4">
      <c r="E331" s="66"/>
      <c r="F331" s="66"/>
      <c r="G331" s="66"/>
      <c r="H331" s="66"/>
    </row>
    <row r="332" spans="5:8" ht="15" customHeight="1" x14ac:dyDescent="0.4">
      <c r="E332" s="66"/>
      <c r="F332" s="66"/>
      <c r="G332" s="66"/>
      <c r="H332" s="66"/>
    </row>
    <row r="333" spans="5:8" ht="15" customHeight="1" x14ac:dyDescent="0.4">
      <c r="E333" s="66"/>
      <c r="F333" s="66"/>
      <c r="G333" s="66"/>
      <c r="H333" s="66"/>
    </row>
    <row r="334" spans="5:8" ht="15" customHeight="1" x14ac:dyDescent="0.4">
      <c r="E334" s="66"/>
      <c r="F334" s="66"/>
      <c r="G334" s="66"/>
      <c r="H334" s="66"/>
    </row>
    <row r="335" spans="5:8" ht="15" customHeight="1" x14ac:dyDescent="0.4">
      <c r="E335" s="66"/>
      <c r="F335" s="66"/>
      <c r="G335" s="66"/>
      <c r="H335" s="66"/>
    </row>
    <row r="336" spans="5:8" ht="15" customHeight="1" x14ac:dyDescent="0.4">
      <c r="E336" s="66"/>
      <c r="F336" s="66"/>
      <c r="G336" s="66"/>
      <c r="H336" s="66"/>
    </row>
    <row r="337" spans="5:8" ht="15" customHeight="1" x14ac:dyDescent="0.4">
      <c r="E337" s="66"/>
      <c r="F337" s="66"/>
      <c r="G337" s="66"/>
      <c r="H337" s="66"/>
    </row>
    <row r="338" spans="5:8" ht="15" customHeight="1" x14ac:dyDescent="0.4">
      <c r="E338" s="66"/>
      <c r="F338" s="66"/>
      <c r="G338" s="66"/>
      <c r="H338" s="66"/>
    </row>
    <row r="339" spans="5:8" ht="15" customHeight="1" x14ac:dyDescent="0.4">
      <c r="E339" s="66"/>
      <c r="F339" s="66"/>
      <c r="G339" s="66"/>
      <c r="H339" s="66"/>
    </row>
    <row r="340" spans="5:8" ht="15" customHeight="1" x14ac:dyDescent="0.4">
      <c r="E340" s="66"/>
      <c r="F340" s="66"/>
      <c r="G340" s="66"/>
      <c r="H340" s="66"/>
    </row>
    <row r="341" spans="5:8" ht="15" customHeight="1" x14ac:dyDescent="0.4">
      <c r="E341" s="66"/>
      <c r="F341" s="66"/>
      <c r="G341" s="66"/>
      <c r="H341" s="66"/>
    </row>
    <row r="342" spans="5:8" ht="15" customHeight="1" x14ac:dyDescent="0.4">
      <c r="E342" s="66"/>
      <c r="F342" s="66"/>
      <c r="G342" s="66"/>
      <c r="H342" s="66"/>
    </row>
    <row r="343" spans="5:8" ht="15" customHeight="1" x14ac:dyDescent="0.4">
      <c r="E343" s="66"/>
      <c r="F343" s="66"/>
      <c r="G343" s="66"/>
      <c r="H343" s="66"/>
    </row>
    <row r="344" spans="5:8" ht="15" customHeight="1" x14ac:dyDescent="0.4">
      <c r="E344" s="66"/>
      <c r="F344" s="66"/>
      <c r="G344" s="66"/>
      <c r="H344" s="66"/>
    </row>
    <row r="345" spans="5:8" ht="15" customHeight="1" x14ac:dyDescent="0.4">
      <c r="E345" s="66"/>
      <c r="F345" s="66"/>
      <c r="G345" s="66"/>
      <c r="H345" s="66"/>
    </row>
    <row r="346" spans="5:8" ht="15" customHeight="1" x14ac:dyDescent="0.4">
      <c r="E346" s="66"/>
      <c r="F346" s="66"/>
      <c r="G346" s="66"/>
      <c r="H346" s="66"/>
    </row>
    <row r="347" spans="5:8" ht="15" customHeight="1" x14ac:dyDescent="0.4">
      <c r="E347" s="66"/>
      <c r="F347" s="66"/>
      <c r="G347" s="66"/>
      <c r="H347" s="66"/>
    </row>
    <row r="348" spans="5:8" ht="15" customHeight="1" x14ac:dyDescent="0.4">
      <c r="E348" s="66"/>
      <c r="F348" s="66"/>
      <c r="G348" s="66"/>
      <c r="H348" s="66"/>
    </row>
    <row r="349" spans="5:8" ht="15" customHeight="1" x14ac:dyDescent="0.4">
      <c r="E349" s="66"/>
      <c r="F349" s="66"/>
      <c r="G349" s="66"/>
      <c r="H349" s="66"/>
    </row>
    <row r="350" spans="5:8" ht="15" customHeight="1" x14ac:dyDescent="0.4">
      <c r="E350" s="66"/>
      <c r="F350" s="66"/>
      <c r="G350" s="66"/>
      <c r="H350" s="66"/>
    </row>
    <row r="351" spans="5:8" ht="15" customHeight="1" x14ac:dyDescent="0.4">
      <c r="E351" s="66"/>
      <c r="F351" s="66"/>
      <c r="G351" s="66"/>
      <c r="H351" s="66"/>
    </row>
    <row r="352" spans="5:8" ht="15" customHeight="1" x14ac:dyDescent="0.4">
      <c r="E352" s="66"/>
      <c r="F352" s="66"/>
      <c r="G352" s="66"/>
      <c r="H352" s="66"/>
    </row>
    <row r="353" spans="5:8" ht="15" customHeight="1" x14ac:dyDescent="0.4">
      <c r="E353" s="66"/>
      <c r="F353" s="66"/>
      <c r="G353" s="66"/>
      <c r="H353" s="66"/>
    </row>
    <row r="354" spans="5:8" ht="15" customHeight="1" x14ac:dyDescent="0.4">
      <c r="E354" s="66"/>
      <c r="F354" s="66"/>
      <c r="G354" s="66"/>
      <c r="H354" s="66"/>
    </row>
    <row r="355" spans="5:8" ht="15" customHeight="1" x14ac:dyDescent="0.4">
      <c r="E355" s="66"/>
      <c r="F355" s="66"/>
      <c r="G355" s="66"/>
      <c r="H355" s="66"/>
    </row>
    <row r="356" spans="5:8" ht="15" customHeight="1" x14ac:dyDescent="0.4">
      <c r="E356" s="66"/>
      <c r="F356" s="66"/>
      <c r="G356" s="66"/>
      <c r="H356" s="66"/>
    </row>
    <row r="357" spans="5:8" ht="15" customHeight="1" x14ac:dyDescent="0.4">
      <c r="E357" s="66"/>
      <c r="F357" s="66"/>
      <c r="G357" s="66"/>
      <c r="H357" s="66"/>
    </row>
    <row r="358" spans="5:8" ht="15" customHeight="1" x14ac:dyDescent="0.4">
      <c r="E358" s="66"/>
      <c r="F358" s="66"/>
      <c r="G358" s="66"/>
      <c r="H358" s="66"/>
    </row>
    <row r="359" spans="5:8" ht="15" customHeight="1" x14ac:dyDescent="0.4">
      <c r="E359" s="66"/>
      <c r="F359" s="66"/>
      <c r="G359" s="66"/>
      <c r="H359" s="66"/>
    </row>
    <row r="360" spans="5:8" ht="15" customHeight="1" x14ac:dyDescent="0.4">
      <c r="E360" s="66"/>
      <c r="F360" s="66"/>
      <c r="G360" s="66"/>
      <c r="H360" s="66"/>
    </row>
    <row r="361" spans="5:8" ht="15" customHeight="1" x14ac:dyDescent="0.4">
      <c r="E361" s="66"/>
      <c r="F361" s="66"/>
      <c r="G361" s="66"/>
      <c r="H361" s="66"/>
    </row>
    <row r="362" spans="5:8" ht="15" customHeight="1" x14ac:dyDescent="0.4">
      <c r="E362" s="66"/>
      <c r="F362" s="66"/>
      <c r="G362" s="66"/>
      <c r="H362" s="66"/>
    </row>
    <row r="363" spans="5:8" ht="15" customHeight="1" x14ac:dyDescent="0.4">
      <c r="E363" s="66"/>
      <c r="F363" s="66"/>
      <c r="G363" s="66"/>
      <c r="H363" s="66"/>
    </row>
    <row r="364" spans="5:8" ht="15" customHeight="1" x14ac:dyDescent="0.4">
      <c r="E364" s="66"/>
      <c r="F364" s="66"/>
      <c r="G364" s="66"/>
      <c r="H364" s="66"/>
    </row>
    <row r="365" spans="5:8" ht="15" customHeight="1" x14ac:dyDescent="0.4">
      <c r="E365" s="66"/>
      <c r="F365" s="66"/>
      <c r="G365" s="66"/>
      <c r="H365" s="66"/>
    </row>
    <row r="366" spans="5:8" ht="15" customHeight="1" x14ac:dyDescent="0.4">
      <c r="E366" s="66"/>
      <c r="F366" s="66"/>
      <c r="G366" s="66"/>
      <c r="H366" s="66"/>
    </row>
    <row r="367" spans="5:8" ht="15" customHeight="1" x14ac:dyDescent="0.4">
      <c r="E367" s="66"/>
      <c r="F367" s="66"/>
      <c r="G367" s="66"/>
      <c r="H367" s="66"/>
    </row>
    <row r="368" spans="5:8" ht="15" customHeight="1" x14ac:dyDescent="0.4">
      <c r="E368" s="66"/>
      <c r="F368" s="66"/>
      <c r="G368" s="66"/>
      <c r="H368" s="66"/>
    </row>
    <row r="369" spans="5:8" ht="15" customHeight="1" x14ac:dyDescent="0.4">
      <c r="E369" s="66"/>
      <c r="F369" s="66"/>
      <c r="G369" s="66"/>
      <c r="H369" s="66"/>
    </row>
    <row r="370" spans="5:8" ht="15" customHeight="1" x14ac:dyDescent="0.4">
      <c r="E370" s="66"/>
      <c r="F370" s="66"/>
      <c r="G370" s="66"/>
      <c r="H370" s="66"/>
    </row>
    <row r="371" spans="5:8" ht="15" customHeight="1" x14ac:dyDescent="0.4">
      <c r="E371" s="66"/>
      <c r="F371" s="66"/>
      <c r="G371" s="66"/>
      <c r="H371" s="66"/>
    </row>
    <row r="372" spans="5:8" ht="15" customHeight="1" x14ac:dyDescent="0.4">
      <c r="E372" s="66"/>
      <c r="F372" s="66"/>
      <c r="G372" s="66"/>
      <c r="H372" s="66"/>
    </row>
    <row r="373" spans="5:8" ht="15" customHeight="1" x14ac:dyDescent="0.4">
      <c r="E373" s="66"/>
      <c r="F373" s="66"/>
      <c r="G373" s="66"/>
      <c r="H373" s="66"/>
    </row>
    <row r="374" spans="5:8" ht="15" customHeight="1" x14ac:dyDescent="0.4">
      <c r="E374" s="66"/>
      <c r="F374" s="66"/>
      <c r="G374" s="66"/>
      <c r="H374" s="66"/>
    </row>
    <row r="375" spans="5:8" ht="15" customHeight="1" x14ac:dyDescent="0.4">
      <c r="E375" s="66"/>
      <c r="F375" s="66"/>
      <c r="G375" s="66"/>
      <c r="H375" s="66"/>
    </row>
    <row r="376" spans="5:8" ht="15" customHeight="1" x14ac:dyDescent="0.4">
      <c r="E376" s="66"/>
      <c r="F376" s="66"/>
      <c r="G376" s="66"/>
      <c r="H376" s="66"/>
    </row>
    <row r="377" spans="5:8" ht="15" customHeight="1" x14ac:dyDescent="0.4">
      <c r="E377" s="66"/>
      <c r="F377" s="66"/>
      <c r="G377" s="66"/>
      <c r="H377" s="66"/>
    </row>
    <row r="378" spans="5:8" ht="15" customHeight="1" x14ac:dyDescent="0.4">
      <c r="E378" s="66"/>
      <c r="F378" s="66"/>
      <c r="G378" s="66"/>
      <c r="H378" s="66"/>
    </row>
    <row r="379" spans="5:8" ht="15" customHeight="1" x14ac:dyDescent="0.4">
      <c r="E379" s="66"/>
      <c r="F379" s="66"/>
      <c r="G379" s="66"/>
      <c r="H379" s="66"/>
    </row>
    <row r="380" spans="5:8" ht="15" customHeight="1" x14ac:dyDescent="0.4">
      <c r="E380" s="66"/>
      <c r="F380" s="66"/>
      <c r="G380" s="66"/>
      <c r="H380" s="66"/>
    </row>
    <row r="381" spans="5:8" ht="15" customHeight="1" x14ac:dyDescent="0.4">
      <c r="E381" s="66"/>
      <c r="F381" s="66"/>
      <c r="G381" s="66"/>
      <c r="H381" s="66"/>
    </row>
    <row r="382" spans="5:8" ht="15" customHeight="1" x14ac:dyDescent="0.4">
      <c r="E382" s="66"/>
      <c r="F382" s="66"/>
      <c r="G382" s="66"/>
      <c r="H382" s="66"/>
    </row>
    <row r="383" spans="5:8" ht="15" customHeight="1" x14ac:dyDescent="0.4">
      <c r="E383" s="66"/>
      <c r="F383" s="66"/>
      <c r="G383" s="66"/>
      <c r="H383" s="66"/>
    </row>
    <row r="384" spans="5:8" ht="15" customHeight="1" x14ac:dyDescent="0.4">
      <c r="E384" s="66"/>
      <c r="F384" s="66"/>
      <c r="G384" s="66"/>
      <c r="H384" s="66"/>
    </row>
    <row r="385" spans="5:8" ht="15" customHeight="1" x14ac:dyDescent="0.4">
      <c r="E385" s="66"/>
      <c r="F385" s="66"/>
      <c r="G385" s="66"/>
      <c r="H385" s="66"/>
    </row>
    <row r="386" spans="5:8" ht="15" customHeight="1" x14ac:dyDescent="0.4">
      <c r="E386" s="66"/>
      <c r="F386" s="66"/>
      <c r="G386" s="66"/>
      <c r="H386" s="66"/>
    </row>
    <row r="387" spans="5:8" ht="15" customHeight="1" x14ac:dyDescent="0.4">
      <c r="E387" s="66"/>
      <c r="F387" s="66"/>
      <c r="G387" s="66"/>
      <c r="H387" s="66"/>
    </row>
    <row r="388" spans="5:8" ht="15" customHeight="1" x14ac:dyDescent="0.4">
      <c r="E388" s="66"/>
      <c r="F388" s="66"/>
      <c r="G388" s="66"/>
      <c r="H388" s="66"/>
    </row>
    <row r="389" spans="5:8" ht="15" customHeight="1" x14ac:dyDescent="0.4">
      <c r="E389" s="66"/>
      <c r="F389" s="66"/>
      <c r="G389" s="66"/>
      <c r="H389" s="66"/>
    </row>
    <row r="390" spans="5:8" ht="15" customHeight="1" x14ac:dyDescent="0.4">
      <c r="E390" s="66"/>
      <c r="F390" s="66"/>
      <c r="G390" s="66"/>
      <c r="H390" s="66"/>
    </row>
    <row r="391" spans="5:8" ht="15" customHeight="1" x14ac:dyDescent="0.4">
      <c r="E391" s="66"/>
      <c r="F391" s="66"/>
      <c r="G391" s="66"/>
      <c r="H391" s="66"/>
    </row>
    <row r="392" spans="5:8" ht="15" customHeight="1" x14ac:dyDescent="0.4">
      <c r="E392" s="66"/>
      <c r="F392" s="66"/>
      <c r="G392" s="66"/>
      <c r="H392" s="66"/>
    </row>
    <row r="393" spans="5:8" ht="15" customHeight="1" x14ac:dyDescent="0.4">
      <c r="E393" s="66"/>
      <c r="F393" s="66"/>
      <c r="G393" s="66"/>
      <c r="H393" s="66"/>
    </row>
    <row r="394" spans="5:8" ht="15" customHeight="1" x14ac:dyDescent="0.4">
      <c r="E394" s="66"/>
      <c r="F394" s="66"/>
      <c r="G394" s="66"/>
      <c r="H394" s="66"/>
    </row>
    <row r="395" spans="5:8" ht="15" customHeight="1" x14ac:dyDescent="0.4">
      <c r="E395" s="66"/>
      <c r="F395" s="66"/>
      <c r="G395" s="66"/>
      <c r="H395" s="66"/>
    </row>
    <row r="396" spans="5:8" ht="15" customHeight="1" x14ac:dyDescent="0.4">
      <c r="E396" s="66"/>
      <c r="F396" s="66"/>
      <c r="G396" s="66"/>
      <c r="H396" s="66"/>
    </row>
    <row r="397" spans="5:8" ht="15" customHeight="1" x14ac:dyDescent="0.4">
      <c r="E397" s="66"/>
      <c r="F397" s="66"/>
      <c r="G397" s="66"/>
      <c r="H397" s="66"/>
    </row>
    <row r="398" spans="5:8" ht="15" customHeight="1" x14ac:dyDescent="0.4">
      <c r="E398" s="66"/>
      <c r="F398" s="66"/>
      <c r="G398" s="66"/>
      <c r="H398" s="66"/>
    </row>
    <row r="399" spans="5:8" ht="15" customHeight="1" x14ac:dyDescent="0.4">
      <c r="E399" s="66"/>
      <c r="F399" s="66"/>
      <c r="G399" s="66"/>
      <c r="H399" s="66"/>
    </row>
    <row r="400" spans="5:8" ht="15" customHeight="1" x14ac:dyDescent="0.4">
      <c r="E400" s="66"/>
      <c r="F400" s="66"/>
      <c r="G400" s="66"/>
      <c r="H400" s="66"/>
    </row>
    <row r="401" spans="5:8" ht="15" customHeight="1" x14ac:dyDescent="0.4">
      <c r="E401" s="66"/>
      <c r="F401" s="66"/>
      <c r="G401" s="66"/>
      <c r="H401" s="66"/>
    </row>
    <row r="402" spans="5:8" ht="15" customHeight="1" x14ac:dyDescent="0.4">
      <c r="E402" s="66"/>
      <c r="F402" s="66"/>
      <c r="G402" s="66"/>
      <c r="H402" s="66"/>
    </row>
    <row r="403" spans="5:8" ht="15" customHeight="1" x14ac:dyDescent="0.4">
      <c r="E403" s="66"/>
      <c r="F403" s="66"/>
      <c r="G403" s="66"/>
      <c r="H403" s="66"/>
    </row>
    <row r="404" spans="5:8" ht="15" customHeight="1" x14ac:dyDescent="0.4">
      <c r="E404" s="66"/>
      <c r="F404" s="66"/>
      <c r="G404" s="66"/>
      <c r="H404" s="66"/>
    </row>
    <row r="405" spans="5:8" ht="15" customHeight="1" x14ac:dyDescent="0.4">
      <c r="E405" s="66"/>
      <c r="F405" s="66"/>
      <c r="G405" s="66"/>
      <c r="H405" s="66"/>
    </row>
    <row r="406" spans="5:8" ht="15" customHeight="1" x14ac:dyDescent="0.4">
      <c r="E406" s="66"/>
      <c r="F406" s="66"/>
      <c r="G406" s="66"/>
      <c r="H406" s="66"/>
    </row>
    <row r="407" spans="5:8" ht="15" customHeight="1" x14ac:dyDescent="0.4">
      <c r="E407" s="66"/>
      <c r="F407" s="66"/>
      <c r="G407" s="66"/>
      <c r="H407" s="66"/>
    </row>
    <row r="408" spans="5:8" ht="15" customHeight="1" x14ac:dyDescent="0.4">
      <c r="E408" s="66"/>
      <c r="F408" s="66"/>
      <c r="G408" s="66"/>
      <c r="H408" s="66"/>
    </row>
    <row r="409" spans="5:8" ht="15" customHeight="1" x14ac:dyDescent="0.4">
      <c r="E409" s="66"/>
      <c r="F409" s="66"/>
      <c r="G409" s="66"/>
      <c r="H409" s="66"/>
    </row>
    <row r="410" spans="5:8" ht="15" customHeight="1" x14ac:dyDescent="0.4">
      <c r="E410" s="66"/>
      <c r="F410" s="66"/>
      <c r="G410" s="66"/>
      <c r="H410" s="66"/>
    </row>
    <row r="411" spans="5:8" ht="15" customHeight="1" x14ac:dyDescent="0.4">
      <c r="E411" s="66"/>
      <c r="F411" s="66"/>
      <c r="G411" s="66"/>
      <c r="H411" s="66"/>
    </row>
    <row r="412" spans="5:8" ht="15" customHeight="1" x14ac:dyDescent="0.4">
      <c r="E412" s="66"/>
      <c r="F412" s="66"/>
      <c r="G412" s="66"/>
      <c r="H412" s="66"/>
    </row>
    <row r="413" spans="5:8" ht="15" customHeight="1" x14ac:dyDescent="0.4">
      <c r="E413" s="66"/>
      <c r="F413" s="66"/>
      <c r="G413" s="66"/>
      <c r="H413" s="66"/>
    </row>
    <row r="414" spans="5:8" ht="15" customHeight="1" x14ac:dyDescent="0.4">
      <c r="E414" s="66"/>
      <c r="F414" s="66"/>
      <c r="G414" s="66"/>
      <c r="H414" s="66"/>
    </row>
    <row r="415" spans="5:8" ht="15" customHeight="1" x14ac:dyDescent="0.4">
      <c r="E415" s="66"/>
      <c r="F415" s="66"/>
      <c r="G415" s="66"/>
      <c r="H415" s="66"/>
    </row>
    <row r="416" spans="5:8" ht="15" customHeight="1" x14ac:dyDescent="0.4">
      <c r="E416" s="66"/>
      <c r="F416" s="66"/>
      <c r="G416" s="66"/>
      <c r="H416" s="66"/>
    </row>
    <row r="417" spans="5:8" ht="15" customHeight="1" x14ac:dyDescent="0.4">
      <c r="E417" s="66"/>
      <c r="F417" s="66"/>
      <c r="G417" s="66"/>
      <c r="H417" s="66"/>
    </row>
    <row r="418" spans="5:8" ht="15" customHeight="1" x14ac:dyDescent="0.4">
      <c r="E418" s="66"/>
      <c r="F418" s="66"/>
      <c r="G418" s="66"/>
      <c r="H418" s="66"/>
    </row>
    <row r="419" spans="5:8" ht="15" customHeight="1" x14ac:dyDescent="0.4">
      <c r="E419" s="66"/>
      <c r="F419" s="66"/>
      <c r="G419" s="66"/>
      <c r="H419" s="66"/>
    </row>
    <row r="420" spans="5:8" ht="15" customHeight="1" x14ac:dyDescent="0.4">
      <c r="E420" s="66"/>
      <c r="F420" s="66"/>
      <c r="G420" s="66"/>
      <c r="H420" s="66"/>
    </row>
    <row r="421" spans="5:8" ht="15" customHeight="1" x14ac:dyDescent="0.4">
      <c r="E421" s="66"/>
      <c r="F421" s="66"/>
      <c r="G421" s="66"/>
      <c r="H421" s="66"/>
    </row>
    <row r="422" spans="5:8" ht="15" customHeight="1" x14ac:dyDescent="0.4">
      <c r="E422" s="66"/>
      <c r="F422" s="66"/>
      <c r="G422" s="66"/>
      <c r="H422" s="66"/>
    </row>
    <row r="423" spans="5:8" ht="15" customHeight="1" x14ac:dyDescent="0.4">
      <c r="E423" s="66"/>
      <c r="F423" s="66"/>
      <c r="G423" s="66"/>
      <c r="H423" s="66"/>
    </row>
    <row r="424" spans="5:8" ht="15" customHeight="1" x14ac:dyDescent="0.4">
      <c r="E424" s="66"/>
      <c r="F424" s="66"/>
      <c r="G424" s="66"/>
      <c r="H424" s="66"/>
    </row>
    <row r="425" spans="5:8" ht="15" customHeight="1" x14ac:dyDescent="0.4">
      <c r="E425" s="66"/>
      <c r="F425" s="66"/>
      <c r="G425" s="66"/>
      <c r="H425" s="66"/>
    </row>
    <row r="426" spans="5:8" ht="15" customHeight="1" x14ac:dyDescent="0.4">
      <c r="E426" s="66"/>
      <c r="F426" s="66"/>
      <c r="G426" s="66"/>
      <c r="H426" s="66"/>
    </row>
    <row r="427" spans="5:8" ht="15" customHeight="1" x14ac:dyDescent="0.4">
      <c r="E427" s="66"/>
      <c r="F427" s="66"/>
      <c r="G427" s="66"/>
      <c r="H427" s="66"/>
    </row>
    <row r="428" spans="5:8" ht="15" customHeight="1" x14ac:dyDescent="0.4">
      <c r="E428" s="66"/>
      <c r="F428" s="66"/>
      <c r="G428" s="66"/>
      <c r="H428" s="66"/>
    </row>
    <row r="429" spans="5:8" ht="15" customHeight="1" x14ac:dyDescent="0.4">
      <c r="E429" s="66"/>
      <c r="F429" s="66"/>
      <c r="G429" s="66"/>
      <c r="H429" s="66"/>
    </row>
    <row r="430" spans="5:8" ht="15" customHeight="1" x14ac:dyDescent="0.4">
      <c r="E430" s="66"/>
      <c r="F430" s="66"/>
      <c r="G430" s="66"/>
      <c r="H430" s="66"/>
    </row>
    <row r="431" spans="5:8" ht="15" customHeight="1" x14ac:dyDescent="0.4">
      <c r="E431" s="66"/>
      <c r="F431" s="66"/>
      <c r="G431" s="66"/>
      <c r="H431" s="66"/>
    </row>
    <row r="432" spans="5:8" ht="15" customHeight="1" x14ac:dyDescent="0.4">
      <c r="E432" s="66"/>
      <c r="F432" s="66"/>
      <c r="G432" s="66"/>
      <c r="H432" s="66"/>
    </row>
    <row r="433" spans="5:8" ht="15" customHeight="1" x14ac:dyDescent="0.4">
      <c r="E433" s="66"/>
      <c r="F433" s="66"/>
      <c r="G433" s="66"/>
      <c r="H433" s="66"/>
    </row>
    <row r="434" spans="5:8" ht="15" customHeight="1" x14ac:dyDescent="0.4">
      <c r="E434" s="66"/>
      <c r="F434" s="66"/>
      <c r="G434" s="66"/>
      <c r="H434" s="66"/>
    </row>
    <row r="435" spans="5:8" ht="15" customHeight="1" x14ac:dyDescent="0.4">
      <c r="E435" s="66"/>
      <c r="F435" s="66"/>
      <c r="G435" s="66"/>
      <c r="H435" s="66"/>
    </row>
    <row r="436" spans="5:8" ht="15" customHeight="1" x14ac:dyDescent="0.4">
      <c r="E436" s="66"/>
      <c r="F436" s="66"/>
      <c r="G436" s="66"/>
      <c r="H436" s="66"/>
    </row>
    <row r="437" spans="5:8" ht="15" customHeight="1" x14ac:dyDescent="0.4">
      <c r="E437" s="66"/>
      <c r="F437" s="66"/>
      <c r="G437" s="66"/>
      <c r="H437" s="66"/>
    </row>
    <row r="438" spans="5:8" ht="15" customHeight="1" x14ac:dyDescent="0.4">
      <c r="E438" s="66"/>
      <c r="F438" s="66"/>
      <c r="G438" s="66"/>
      <c r="H438" s="66"/>
    </row>
    <row r="439" spans="5:8" ht="15" customHeight="1" x14ac:dyDescent="0.4">
      <c r="E439" s="66"/>
      <c r="F439" s="66"/>
      <c r="G439" s="66"/>
      <c r="H439" s="66"/>
    </row>
    <row r="440" spans="5:8" ht="15" customHeight="1" x14ac:dyDescent="0.4">
      <c r="E440" s="66"/>
      <c r="F440" s="66"/>
      <c r="G440" s="66"/>
      <c r="H440" s="66"/>
    </row>
    <row r="441" spans="5:8" ht="15" customHeight="1" x14ac:dyDescent="0.4">
      <c r="E441" s="66"/>
      <c r="F441" s="66"/>
      <c r="G441" s="66"/>
      <c r="H441" s="66"/>
    </row>
    <row r="442" spans="5:8" ht="15" customHeight="1" x14ac:dyDescent="0.4">
      <c r="E442" s="66"/>
      <c r="F442" s="66"/>
      <c r="G442" s="66"/>
      <c r="H442" s="66"/>
    </row>
    <row r="443" spans="5:8" ht="15" customHeight="1" x14ac:dyDescent="0.4">
      <c r="E443" s="66"/>
      <c r="F443" s="66"/>
      <c r="G443" s="66"/>
      <c r="H443" s="66"/>
    </row>
    <row r="444" spans="5:8" ht="15" customHeight="1" x14ac:dyDescent="0.4">
      <c r="E444" s="66"/>
      <c r="F444" s="66"/>
      <c r="G444" s="66"/>
      <c r="H444" s="66"/>
    </row>
    <row r="445" spans="5:8" ht="15" customHeight="1" x14ac:dyDescent="0.4">
      <c r="E445" s="66"/>
      <c r="F445" s="66"/>
      <c r="G445" s="66"/>
      <c r="H445" s="66"/>
    </row>
    <row r="446" spans="5:8" ht="15" customHeight="1" x14ac:dyDescent="0.4">
      <c r="E446" s="66"/>
      <c r="F446" s="66"/>
      <c r="G446" s="66"/>
      <c r="H446" s="66"/>
    </row>
    <row r="447" spans="5:8" ht="15" customHeight="1" x14ac:dyDescent="0.4">
      <c r="E447" s="66"/>
      <c r="F447" s="66"/>
      <c r="G447" s="66"/>
      <c r="H447" s="66"/>
    </row>
    <row r="448" spans="5:8" ht="15" customHeight="1" x14ac:dyDescent="0.4">
      <c r="E448" s="66"/>
      <c r="F448" s="66"/>
      <c r="G448" s="66"/>
      <c r="H448" s="66"/>
    </row>
    <row r="449" spans="5:8" ht="15" customHeight="1" x14ac:dyDescent="0.4">
      <c r="E449" s="66"/>
      <c r="F449" s="66"/>
      <c r="G449" s="66"/>
      <c r="H449" s="66"/>
    </row>
    <row r="450" spans="5:8" ht="15" customHeight="1" x14ac:dyDescent="0.4">
      <c r="E450" s="66"/>
      <c r="F450" s="66"/>
      <c r="G450" s="66"/>
      <c r="H450" s="66"/>
    </row>
    <row r="451" spans="5:8" ht="15" customHeight="1" x14ac:dyDescent="0.4">
      <c r="E451" s="66"/>
      <c r="F451" s="66"/>
      <c r="G451" s="66"/>
      <c r="H451" s="66"/>
    </row>
    <row r="452" spans="5:8" ht="15" customHeight="1" x14ac:dyDescent="0.4">
      <c r="E452" s="66"/>
      <c r="F452" s="66"/>
      <c r="G452" s="66"/>
      <c r="H452" s="66"/>
    </row>
    <row r="453" spans="5:8" ht="15" customHeight="1" x14ac:dyDescent="0.4">
      <c r="E453" s="66"/>
      <c r="F453" s="66"/>
      <c r="G453" s="66"/>
      <c r="H453" s="66"/>
    </row>
    <row r="454" spans="5:8" ht="15" customHeight="1" x14ac:dyDescent="0.4">
      <c r="E454" s="66"/>
      <c r="F454" s="66"/>
      <c r="G454" s="66"/>
      <c r="H454" s="66"/>
    </row>
    <row r="455" spans="5:8" ht="15" customHeight="1" x14ac:dyDescent="0.4">
      <c r="E455" s="66"/>
      <c r="F455" s="66"/>
      <c r="G455" s="66"/>
      <c r="H455" s="66"/>
    </row>
    <row r="456" spans="5:8" ht="15" customHeight="1" x14ac:dyDescent="0.4">
      <c r="E456" s="66"/>
      <c r="F456" s="66"/>
      <c r="G456" s="66"/>
      <c r="H456" s="66"/>
    </row>
    <row r="457" spans="5:8" ht="15" customHeight="1" x14ac:dyDescent="0.4">
      <c r="E457" s="66"/>
      <c r="F457" s="66"/>
      <c r="G457" s="66"/>
      <c r="H457" s="66"/>
    </row>
    <row r="458" spans="5:8" ht="15" customHeight="1" x14ac:dyDescent="0.4">
      <c r="E458" s="66"/>
      <c r="F458" s="66"/>
      <c r="G458" s="66"/>
      <c r="H458" s="66"/>
    </row>
    <row r="459" spans="5:8" ht="15" customHeight="1" x14ac:dyDescent="0.4">
      <c r="E459" s="66"/>
      <c r="F459" s="66"/>
      <c r="G459" s="66"/>
      <c r="H459" s="66"/>
    </row>
    <row r="460" spans="5:8" ht="15" customHeight="1" x14ac:dyDescent="0.4">
      <c r="E460" s="66"/>
      <c r="F460" s="66"/>
      <c r="G460" s="66"/>
      <c r="H460" s="66"/>
    </row>
    <row r="461" spans="5:8" ht="15" customHeight="1" x14ac:dyDescent="0.4">
      <c r="E461" s="66"/>
      <c r="F461" s="66"/>
      <c r="G461" s="66"/>
      <c r="H461" s="66"/>
    </row>
    <row r="462" spans="5:8" ht="15" customHeight="1" x14ac:dyDescent="0.4">
      <c r="E462" s="66"/>
      <c r="F462" s="66"/>
      <c r="G462" s="66"/>
      <c r="H462" s="66"/>
    </row>
    <row r="463" spans="5:8" ht="15" customHeight="1" x14ac:dyDescent="0.4">
      <c r="E463" s="66"/>
      <c r="F463" s="66"/>
      <c r="G463" s="66"/>
      <c r="H463" s="66"/>
    </row>
    <row r="464" spans="5:8" ht="15" customHeight="1" x14ac:dyDescent="0.4">
      <c r="E464" s="66"/>
      <c r="F464" s="66"/>
      <c r="G464" s="66"/>
      <c r="H464" s="66"/>
    </row>
    <row r="465" spans="5:8" ht="15" customHeight="1" x14ac:dyDescent="0.4">
      <c r="E465" s="66"/>
      <c r="F465" s="66"/>
      <c r="G465" s="66"/>
      <c r="H465" s="66"/>
    </row>
    <row r="466" spans="5:8" ht="15" customHeight="1" x14ac:dyDescent="0.4">
      <c r="E466" s="66"/>
      <c r="F466" s="66"/>
      <c r="G466" s="66"/>
      <c r="H466" s="66"/>
    </row>
    <row r="467" spans="5:8" ht="15" customHeight="1" x14ac:dyDescent="0.4">
      <c r="E467" s="66"/>
      <c r="F467" s="66"/>
      <c r="G467" s="66"/>
      <c r="H467" s="66"/>
    </row>
    <row r="468" spans="5:8" ht="15" customHeight="1" x14ac:dyDescent="0.4">
      <c r="E468" s="66"/>
      <c r="F468" s="66"/>
      <c r="G468" s="66"/>
      <c r="H468" s="66"/>
    </row>
    <row r="469" spans="5:8" ht="15" customHeight="1" x14ac:dyDescent="0.4">
      <c r="E469" s="66"/>
      <c r="F469" s="66"/>
      <c r="G469" s="66"/>
      <c r="H469" s="66"/>
    </row>
    <row r="470" spans="5:8" ht="15" customHeight="1" x14ac:dyDescent="0.4">
      <c r="E470" s="66"/>
      <c r="F470" s="66"/>
      <c r="G470" s="66"/>
      <c r="H470" s="66"/>
    </row>
    <row r="471" spans="5:8" ht="15" customHeight="1" x14ac:dyDescent="0.4">
      <c r="E471" s="66"/>
      <c r="F471" s="66"/>
      <c r="G471" s="66"/>
      <c r="H471" s="66"/>
    </row>
    <row r="472" spans="5:8" ht="15" customHeight="1" x14ac:dyDescent="0.4">
      <c r="E472" s="66"/>
      <c r="F472" s="66"/>
      <c r="G472" s="66"/>
      <c r="H472" s="66"/>
    </row>
    <row r="473" spans="5:8" ht="15" customHeight="1" x14ac:dyDescent="0.4">
      <c r="E473" s="66"/>
      <c r="F473" s="66"/>
      <c r="G473" s="66"/>
      <c r="H473" s="66"/>
    </row>
    <row r="474" spans="5:8" ht="15" customHeight="1" x14ac:dyDescent="0.4">
      <c r="E474" s="66"/>
      <c r="F474" s="66"/>
      <c r="G474" s="66"/>
      <c r="H474" s="66"/>
    </row>
    <row r="475" spans="5:8" ht="15" customHeight="1" x14ac:dyDescent="0.4">
      <c r="E475" s="66"/>
      <c r="F475" s="66"/>
      <c r="G475" s="66"/>
      <c r="H475" s="66"/>
    </row>
    <row r="476" spans="5:8" ht="15" customHeight="1" x14ac:dyDescent="0.4">
      <c r="E476" s="66"/>
      <c r="F476" s="66"/>
      <c r="G476" s="66"/>
      <c r="H476" s="66"/>
    </row>
    <row r="477" spans="5:8" ht="15" customHeight="1" x14ac:dyDescent="0.4">
      <c r="E477" s="66"/>
      <c r="F477" s="66"/>
      <c r="G477" s="66"/>
      <c r="H477" s="66"/>
    </row>
    <row r="478" spans="5:8" ht="15" customHeight="1" x14ac:dyDescent="0.4">
      <c r="E478" s="66"/>
      <c r="F478" s="66"/>
      <c r="G478" s="66"/>
      <c r="H478" s="66"/>
    </row>
    <row r="479" spans="5:8" ht="15" customHeight="1" x14ac:dyDescent="0.4">
      <c r="E479" s="66"/>
      <c r="F479" s="66"/>
      <c r="G479" s="66"/>
      <c r="H479" s="66"/>
    </row>
    <row r="480" spans="5:8" ht="15" customHeight="1" x14ac:dyDescent="0.4">
      <c r="E480" s="66"/>
      <c r="F480" s="66"/>
      <c r="G480" s="66"/>
      <c r="H480" s="66"/>
    </row>
    <row r="481" spans="5:8" ht="15" customHeight="1" x14ac:dyDescent="0.4">
      <c r="E481" s="66"/>
      <c r="F481" s="66"/>
      <c r="G481" s="66"/>
      <c r="H481" s="66"/>
    </row>
    <row r="482" spans="5:8" ht="15" customHeight="1" x14ac:dyDescent="0.4">
      <c r="E482" s="66"/>
      <c r="F482" s="66"/>
      <c r="G482" s="66"/>
      <c r="H482" s="66"/>
    </row>
    <row r="483" spans="5:8" ht="15" customHeight="1" x14ac:dyDescent="0.4">
      <c r="E483" s="66"/>
      <c r="F483" s="66"/>
      <c r="G483" s="66"/>
      <c r="H483" s="66"/>
    </row>
    <row r="484" spans="5:8" ht="15" customHeight="1" x14ac:dyDescent="0.4">
      <c r="E484" s="66"/>
      <c r="F484" s="66"/>
      <c r="G484" s="66"/>
      <c r="H484" s="66"/>
    </row>
    <row r="485" spans="5:8" ht="15" customHeight="1" x14ac:dyDescent="0.4">
      <c r="E485" s="66"/>
      <c r="F485" s="66"/>
      <c r="G485" s="66"/>
      <c r="H485" s="66"/>
    </row>
    <row r="486" spans="5:8" ht="15" customHeight="1" x14ac:dyDescent="0.4">
      <c r="E486" s="66"/>
      <c r="F486" s="66"/>
      <c r="G486" s="66"/>
      <c r="H486" s="66"/>
    </row>
    <row r="487" spans="5:8" ht="15" customHeight="1" x14ac:dyDescent="0.4">
      <c r="E487" s="66"/>
      <c r="F487" s="66"/>
      <c r="G487" s="66"/>
      <c r="H487" s="66"/>
    </row>
    <row r="488" spans="5:8" ht="15" customHeight="1" x14ac:dyDescent="0.4">
      <c r="E488" s="66"/>
      <c r="F488" s="66"/>
      <c r="G488" s="66"/>
      <c r="H488" s="66"/>
    </row>
    <row r="489" spans="5:8" ht="15" customHeight="1" x14ac:dyDescent="0.4">
      <c r="E489" s="66"/>
      <c r="F489" s="66"/>
      <c r="G489" s="66"/>
      <c r="H489" s="66"/>
    </row>
    <row r="490" spans="5:8" ht="15" customHeight="1" x14ac:dyDescent="0.4">
      <c r="E490" s="66"/>
      <c r="F490" s="66"/>
      <c r="G490" s="66"/>
      <c r="H490" s="66"/>
    </row>
    <row r="491" spans="5:8" ht="15" customHeight="1" x14ac:dyDescent="0.4">
      <c r="E491" s="66"/>
      <c r="F491" s="66"/>
      <c r="G491" s="66"/>
      <c r="H491" s="66"/>
    </row>
    <row r="492" spans="5:8" ht="15" customHeight="1" x14ac:dyDescent="0.4">
      <c r="E492" s="66"/>
      <c r="F492" s="66"/>
      <c r="G492" s="66"/>
      <c r="H492" s="66"/>
    </row>
    <row r="493" spans="5:8" ht="15" customHeight="1" x14ac:dyDescent="0.4">
      <c r="E493" s="66"/>
      <c r="F493" s="66"/>
      <c r="G493" s="66"/>
      <c r="H493" s="66"/>
    </row>
    <row r="494" spans="5:8" ht="15" customHeight="1" x14ac:dyDescent="0.4">
      <c r="E494" s="66"/>
      <c r="F494" s="66"/>
      <c r="G494" s="66"/>
      <c r="H494" s="66"/>
    </row>
    <row r="495" spans="5:8" ht="15" customHeight="1" x14ac:dyDescent="0.4">
      <c r="E495" s="66"/>
      <c r="F495" s="66"/>
      <c r="G495" s="66"/>
      <c r="H495" s="66"/>
    </row>
    <row r="496" spans="5:8" ht="15" customHeight="1" x14ac:dyDescent="0.4">
      <c r="E496" s="66"/>
      <c r="F496" s="66"/>
      <c r="G496" s="66"/>
      <c r="H496" s="66"/>
    </row>
    <row r="497" spans="5:8" ht="15" customHeight="1" x14ac:dyDescent="0.4">
      <c r="E497" s="66"/>
      <c r="F497" s="66"/>
      <c r="G497" s="66"/>
      <c r="H497" s="66"/>
    </row>
    <row r="498" spans="5:8" ht="15" customHeight="1" x14ac:dyDescent="0.4">
      <c r="E498" s="66"/>
      <c r="F498" s="66"/>
      <c r="G498" s="66"/>
      <c r="H498" s="66"/>
    </row>
    <row r="499" spans="5:8" ht="15" customHeight="1" x14ac:dyDescent="0.4">
      <c r="E499" s="66"/>
      <c r="F499" s="66"/>
      <c r="G499" s="66"/>
      <c r="H499" s="66"/>
    </row>
    <row r="500" spans="5:8" ht="15" customHeight="1" x14ac:dyDescent="0.4">
      <c r="E500" s="66"/>
      <c r="F500" s="66"/>
      <c r="G500" s="66"/>
      <c r="H500" s="66"/>
    </row>
    <row r="501" spans="5:8" ht="15" customHeight="1" x14ac:dyDescent="0.4">
      <c r="E501" s="66"/>
      <c r="F501" s="66"/>
      <c r="G501" s="66"/>
      <c r="H501" s="66"/>
    </row>
    <row r="502" spans="5:8" ht="15" customHeight="1" x14ac:dyDescent="0.4">
      <c r="E502" s="66"/>
      <c r="F502" s="66"/>
      <c r="G502" s="66"/>
      <c r="H502" s="66"/>
    </row>
    <row r="503" spans="5:8" ht="15" customHeight="1" x14ac:dyDescent="0.4">
      <c r="E503" s="66"/>
      <c r="F503" s="66"/>
      <c r="G503" s="66"/>
      <c r="H503" s="66"/>
    </row>
    <row r="504" spans="5:8" ht="15" customHeight="1" x14ac:dyDescent="0.4">
      <c r="E504" s="66"/>
      <c r="F504" s="66"/>
      <c r="G504" s="66"/>
      <c r="H504" s="66"/>
    </row>
    <row r="505" spans="5:8" ht="15" customHeight="1" x14ac:dyDescent="0.4">
      <c r="E505" s="66"/>
      <c r="F505" s="66"/>
      <c r="G505" s="66"/>
      <c r="H505" s="66"/>
    </row>
    <row r="506" spans="5:8" ht="15" customHeight="1" x14ac:dyDescent="0.4">
      <c r="E506" s="66"/>
      <c r="F506" s="66"/>
      <c r="G506" s="66"/>
      <c r="H506" s="66"/>
    </row>
    <row r="507" spans="5:8" ht="15" customHeight="1" x14ac:dyDescent="0.4">
      <c r="E507" s="66"/>
      <c r="F507" s="66"/>
      <c r="G507" s="66"/>
      <c r="H507" s="66"/>
    </row>
    <row r="508" spans="5:8" ht="15" customHeight="1" x14ac:dyDescent="0.4">
      <c r="E508" s="66"/>
      <c r="F508" s="66"/>
      <c r="G508" s="66"/>
      <c r="H508" s="66"/>
    </row>
    <row r="509" spans="5:8" ht="15" customHeight="1" x14ac:dyDescent="0.4">
      <c r="E509" s="66"/>
      <c r="F509" s="66"/>
      <c r="G509" s="66"/>
      <c r="H509" s="66"/>
    </row>
    <row r="510" spans="5:8" ht="15" customHeight="1" x14ac:dyDescent="0.4">
      <c r="E510" s="66"/>
      <c r="F510" s="66"/>
      <c r="G510" s="66"/>
      <c r="H510" s="66"/>
    </row>
    <row r="511" spans="5:8" ht="15" customHeight="1" x14ac:dyDescent="0.4">
      <c r="E511" s="66"/>
      <c r="F511" s="66"/>
      <c r="G511" s="66"/>
      <c r="H511" s="66"/>
    </row>
    <row r="512" spans="5:8" ht="15" customHeight="1" x14ac:dyDescent="0.4">
      <c r="E512" s="66"/>
      <c r="F512" s="66"/>
      <c r="G512" s="66"/>
      <c r="H512" s="66"/>
    </row>
    <row r="513" spans="5:8" ht="15" customHeight="1" x14ac:dyDescent="0.4">
      <c r="E513" s="66"/>
      <c r="F513" s="66"/>
      <c r="G513" s="66"/>
      <c r="H513" s="66"/>
    </row>
    <row r="514" spans="5:8" ht="15" customHeight="1" x14ac:dyDescent="0.4">
      <c r="E514" s="66"/>
      <c r="F514" s="66"/>
      <c r="G514" s="66"/>
      <c r="H514" s="66"/>
    </row>
    <row r="515" spans="5:8" ht="15" customHeight="1" x14ac:dyDescent="0.4">
      <c r="E515" s="66"/>
      <c r="F515" s="66"/>
      <c r="G515" s="66"/>
      <c r="H515" s="66"/>
    </row>
    <row r="516" spans="5:8" ht="15" customHeight="1" x14ac:dyDescent="0.4">
      <c r="E516" s="66"/>
      <c r="F516" s="66"/>
      <c r="G516" s="66"/>
      <c r="H516" s="66"/>
    </row>
    <row r="517" spans="5:8" ht="15" customHeight="1" x14ac:dyDescent="0.4">
      <c r="E517" s="66"/>
      <c r="F517" s="66"/>
      <c r="G517" s="66"/>
      <c r="H517" s="66"/>
    </row>
    <row r="518" spans="5:8" ht="15" customHeight="1" x14ac:dyDescent="0.4">
      <c r="E518" s="66"/>
      <c r="F518" s="66"/>
      <c r="G518" s="66"/>
      <c r="H518" s="66"/>
    </row>
    <row r="519" spans="5:8" ht="15" customHeight="1" x14ac:dyDescent="0.4">
      <c r="E519" s="66"/>
      <c r="F519" s="66"/>
      <c r="G519" s="66"/>
      <c r="H519" s="66"/>
    </row>
    <row r="520" spans="5:8" ht="15" customHeight="1" x14ac:dyDescent="0.4">
      <c r="E520" s="66"/>
      <c r="F520" s="66"/>
      <c r="G520" s="66"/>
      <c r="H520" s="66"/>
    </row>
    <row r="521" spans="5:8" ht="15" customHeight="1" x14ac:dyDescent="0.4">
      <c r="E521" s="66"/>
      <c r="F521" s="66"/>
      <c r="G521" s="66"/>
      <c r="H521" s="66"/>
    </row>
    <row r="522" spans="5:8" ht="15" customHeight="1" x14ac:dyDescent="0.4">
      <c r="E522" s="66"/>
      <c r="F522" s="66"/>
      <c r="G522" s="66"/>
      <c r="H522" s="66"/>
    </row>
    <row r="523" spans="5:8" ht="15" customHeight="1" x14ac:dyDescent="0.4">
      <c r="E523" s="66"/>
      <c r="F523" s="66"/>
      <c r="G523" s="66"/>
      <c r="H523" s="66"/>
    </row>
    <row r="524" spans="5:8" ht="15" customHeight="1" x14ac:dyDescent="0.4">
      <c r="E524" s="66"/>
      <c r="F524" s="66"/>
      <c r="G524" s="66"/>
      <c r="H524" s="66"/>
    </row>
    <row r="525" spans="5:8" ht="15" customHeight="1" x14ac:dyDescent="0.4">
      <c r="E525" s="66"/>
      <c r="F525" s="66"/>
      <c r="G525" s="66"/>
      <c r="H525" s="66"/>
    </row>
    <row r="526" spans="5:8" ht="15" customHeight="1" x14ac:dyDescent="0.4">
      <c r="E526" s="66"/>
      <c r="F526" s="66"/>
      <c r="G526" s="66"/>
      <c r="H526" s="66"/>
    </row>
    <row r="527" spans="5:8" ht="15" customHeight="1" x14ac:dyDescent="0.4">
      <c r="E527" s="66"/>
      <c r="F527" s="66"/>
      <c r="G527" s="66"/>
      <c r="H527" s="66"/>
    </row>
    <row r="528" spans="5:8" ht="15" customHeight="1" x14ac:dyDescent="0.4">
      <c r="E528" s="66"/>
      <c r="F528" s="66"/>
      <c r="G528" s="66"/>
      <c r="H528" s="66"/>
    </row>
    <row r="529" spans="5:8" ht="15" customHeight="1" x14ac:dyDescent="0.4">
      <c r="E529" s="66"/>
      <c r="F529" s="66"/>
      <c r="G529" s="66"/>
      <c r="H529" s="66"/>
    </row>
    <row r="530" spans="5:8" ht="15" customHeight="1" x14ac:dyDescent="0.4">
      <c r="E530" s="66"/>
      <c r="F530" s="66"/>
      <c r="G530" s="66"/>
      <c r="H530" s="66"/>
    </row>
    <row r="531" spans="5:8" ht="15" customHeight="1" x14ac:dyDescent="0.4">
      <c r="E531" s="66"/>
      <c r="F531" s="66"/>
      <c r="G531" s="66"/>
      <c r="H531" s="66"/>
    </row>
    <row r="532" spans="5:8" ht="15" customHeight="1" x14ac:dyDescent="0.4">
      <c r="E532" s="66"/>
      <c r="F532" s="66"/>
      <c r="G532" s="66"/>
      <c r="H532" s="66"/>
    </row>
    <row r="533" spans="5:8" ht="15" customHeight="1" x14ac:dyDescent="0.4">
      <c r="E533" s="66"/>
      <c r="F533" s="66"/>
      <c r="G533" s="66"/>
      <c r="H533" s="66"/>
    </row>
    <row r="534" spans="5:8" ht="15" customHeight="1" x14ac:dyDescent="0.4">
      <c r="E534" s="66"/>
      <c r="F534" s="66"/>
      <c r="G534" s="66"/>
      <c r="H534" s="66"/>
    </row>
    <row r="535" spans="5:8" ht="15" customHeight="1" x14ac:dyDescent="0.4">
      <c r="E535" s="66"/>
      <c r="F535" s="66"/>
      <c r="G535" s="66"/>
      <c r="H535" s="66"/>
    </row>
    <row r="536" spans="5:8" ht="15" customHeight="1" x14ac:dyDescent="0.4">
      <c r="E536" s="66"/>
      <c r="F536" s="66"/>
      <c r="G536" s="66"/>
      <c r="H536" s="66"/>
    </row>
    <row r="537" spans="5:8" ht="15" customHeight="1" x14ac:dyDescent="0.4">
      <c r="E537" s="66"/>
      <c r="F537" s="66"/>
      <c r="G537" s="66"/>
      <c r="H537" s="66"/>
    </row>
    <row r="538" spans="5:8" ht="15" customHeight="1" x14ac:dyDescent="0.4">
      <c r="E538" s="66"/>
      <c r="F538" s="66"/>
      <c r="G538" s="66"/>
      <c r="H538" s="66"/>
    </row>
    <row r="539" spans="5:8" ht="15" customHeight="1" x14ac:dyDescent="0.4">
      <c r="E539" s="66"/>
      <c r="F539" s="66"/>
      <c r="G539" s="66"/>
      <c r="H539" s="66"/>
    </row>
    <row r="540" spans="5:8" ht="15" customHeight="1" x14ac:dyDescent="0.4">
      <c r="E540" s="66"/>
      <c r="F540" s="66"/>
      <c r="G540" s="66"/>
      <c r="H540" s="66"/>
    </row>
    <row r="541" spans="5:8" ht="15" customHeight="1" x14ac:dyDescent="0.4">
      <c r="E541" s="66"/>
      <c r="F541" s="66"/>
      <c r="G541" s="66"/>
      <c r="H541" s="66"/>
    </row>
    <row r="542" spans="5:8" ht="15" customHeight="1" x14ac:dyDescent="0.4">
      <c r="E542" s="66"/>
      <c r="F542" s="66"/>
      <c r="G542" s="66"/>
      <c r="H542" s="66"/>
    </row>
    <row r="543" spans="5:8" ht="15" customHeight="1" x14ac:dyDescent="0.4">
      <c r="E543" s="66"/>
      <c r="F543" s="66"/>
      <c r="G543" s="66"/>
      <c r="H543" s="66"/>
    </row>
    <row r="544" spans="5:8" ht="15" customHeight="1" x14ac:dyDescent="0.4">
      <c r="E544" s="66"/>
      <c r="F544" s="66"/>
      <c r="G544" s="66"/>
      <c r="H544" s="66"/>
    </row>
    <row r="545" spans="5:8" ht="15" customHeight="1" x14ac:dyDescent="0.4">
      <c r="E545" s="66"/>
      <c r="F545" s="66"/>
      <c r="G545" s="66"/>
      <c r="H545" s="66"/>
    </row>
    <row r="546" spans="5:8" ht="15" customHeight="1" x14ac:dyDescent="0.4">
      <c r="E546" s="66"/>
      <c r="F546" s="66"/>
      <c r="G546" s="66"/>
      <c r="H546" s="66"/>
    </row>
    <row r="547" spans="5:8" ht="15" customHeight="1" x14ac:dyDescent="0.4">
      <c r="E547" s="66"/>
      <c r="F547" s="66"/>
      <c r="G547" s="66"/>
      <c r="H547" s="66"/>
    </row>
    <row r="548" spans="5:8" ht="15" customHeight="1" x14ac:dyDescent="0.4">
      <c r="E548" s="66"/>
      <c r="F548" s="66"/>
      <c r="G548" s="66"/>
      <c r="H548" s="66"/>
    </row>
    <row r="549" spans="5:8" ht="15" customHeight="1" x14ac:dyDescent="0.4">
      <c r="E549" s="66"/>
      <c r="F549" s="66"/>
      <c r="G549" s="66"/>
      <c r="H549" s="66"/>
    </row>
    <row r="550" spans="5:8" ht="15" customHeight="1" x14ac:dyDescent="0.4">
      <c r="E550" s="66"/>
      <c r="F550" s="66"/>
      <c r="G550" s="66"/>
      <c r="H550" s="66"/>
    </row>
    <row r="551" spans="5:8" ht="15" customHeight="1" x14ac:dyDescent="0.4">
      <c r="E551" s="66"/>
      <c r="F551" s="66"/>
      <c r="G551" s="66"/>
      <c r="H551" s="66"/>
    </row>
    <row r="552" spans="5:8" ht="15" customHeight="1" x14ac:dyDescent="0.4">
      <c r="E552" s="66"/>
      <c r="F552" s="66"/>
      <c r="G552" s="66"/>
      <c r="H552" s="66"/>
    </row>
    <row r="553" spans="5:8" ht="15" customHeight="1" x14ac:dyDescent="0.4">
      <c r="E553" s="66"/>
      <c r="F553" s="66"/>
      <c r="G553" s="66"/>
      <c r="H553" s="66"/>
    </row>
    <row r="554" spans="5:8" ht="15" customHeight="1" x14ac:dyDescent="0.4">
      <c r="E554" s="66"/>
      <c r="F554" s="66"/>
      <c r="G554" s="66"/>
      <c r="H554" s="66"/>
    </row>
    <row r="555" spans="5:8" ht="15" customHeight="1" x14ac:dyDescent="0.4">
      <c r="E555" s="66"/>
      <c r="F555" s="66"/>
      <c r="G555" s="66"/>
      <c r="H555" s="66"/>
    </row>
    <row r="556" spans="5:8" ht="15" customHeight="1" x14ac:dyDescent="0.4">
      <c r="E556" s="66"/>
      <c r="F556" s="66"/>
      <c r="G556" s="66"/>
      <c r="H556" s="66"/>
    </row>
    <row r="557" spans="5:8" ht="15" customHeight="1" x14ac:dyDescent="0.4">
      <c r="E557" s="66"/>
      <c r="F557" s="66"/>
      <c r="G557" s="66"/>
      <c r="H557" s="66"/>
    </row>
    <row r="558" spans="5:8" ht="15" customHeight="1" x14ac:dyDescent="0.4">
      <c r="E558" s="66"/>
      <c r="F558" s="66"/>
      <c r="G558" s="66"/>
      <c r="H558" s="66"/>
    </row>
    <row r="559" spans="5:8" ht="15" customHeight="1" x14ac:dyDescent="0.4">
      <c r="E559" s="66"/>
      <c r="F559" s="66"/>
      <c r="G559" s="66"/>
      <c r="H559" s="66"/>
    </row>
    <row r="560" spans="5:8" ht="15" customHeight="1" x14ac:dyDescent="0.4">
      <c r="E560" s="66"/>
      <c r="F560" s="66"/>
      <c r="G560" s="66"/>
      <c r="H560" s="66"/>
    </row>
    <row r="561" spans="5:8" ht="15" customHeight="1" x14ac:dyDescent="0.4">
      <c r="E561" s="66"/>
      <c r="F561" s="66"/>
      <c r="G561" s="66"/>
      <c r="H561" s="66"/>
    </row>
    <row r="562" spans="5:8" ht="15" customHeight="1" x14ac:dyDescent="0.4">
      <c r="E562" s="66"/>
      <c r="F562" s="66"/>
      <c r="G562" s="66"/>
      <c r="H562" s="66"/>
    </row>
    <row r="563" spans="5:8" ht="15" customHeight="1" x14ac:dyDescent="0.4">
      <c r="E563" s="66"/>
      <c r="F563" s="66"/>
      <c r="G563" s="66"/>
      <c r="H563" s="66"/>
    </row>
    <row r="564" spans="5:8" ht="15" customHeight="1" x14ac:dyDescent="0.4">
      <c r="E564" s="66"/>
      <c r="F564" s="66"/>
      <c r="G564" s="66"/>
      <c r="H564" s="66"/>
    </row>
    <row r="565" spans="5:8" ht="15" customHeight="1" x14ac:dyDescent="0.4">
      <c r="E565" s="66"/>
      <c r="F565" s="66"/>
      <c r="G565" s="66"/>
      <c r="H565" s="66"/>
    </row>
    <row r="566" spans="5:8" ht="15" customHeight="1" x14ac:dyDescent="0.4">
      <c r="E566" s="66"/>
      <c r="F566" s="66"/>
      <c r="G566" s="66"/>
      <c r="H566" s="66"/>
    </row>
    <row r="567" spans="5:8" ht="15" customHeight="1" x14ac:dyDescent="0.4">
      <c r="E567" s="66"/>
      <c r="F567" s="66"/>
      <c r="G567" s="66"/>
      <c r="H567" s="66"/>
    </row>
    <row r="568" spans="5:8" ht="15" customHeight="1" x14ac:dyDescent="0.4">
      <c r="E568" s="66"/>
      <c r="F568" s="66"/>
      <c r="G568" s="66"/>
      <c r="H568" s="66"/>
    </row>
    <row r="569" spans="5:8" ht="15" customHeight="1" x14ac:dyDescent="0.4">
      <c r="E569" s="66"/>
      <c r="F569" s="66"/>
      <c r="G569" s="66"/>
      <c r="H569" s="66"/>
    </row>
    <row r="570" spans="5:8" ht="15" customHeight="1" x14ac:dyDescent="0.4">
      <c r="E570" s="66"/>
      <c r="F570" s="66"/>
      <c r="G570" s="66"/>
      <c r="H570" s="66"/>
    </row>
    <row r="571" spans="5:8" ht="15" customHeight="1" x14ac:dyDescent="0.4">
      <c r="E571" s="66"/>
      <c r="F571" s="66"/>
      <c r="G571" s="66"/>
      <c r="H571" s="66"/>
    </row>
    <row r="572" spans="5:8" ht="15" customHeight="1" x14ac:dyDescent="0.4">
      <c r="E572" s="66"/>
      <c r="F572" s="66"/>
      <c r="G572" s="66"/>
      <c r="H572" s="66"/>
    </row>
    <row r="573" spans="5:8" ht="15" customHeight="1" x14ac:dyDescent="0.4">
      <c r="E573" s="66"/>
      <c r="F573" s="66"/>
      <c r="G573" s="66"/>
      <c r="H573" s="66"/>
    </row>
    <row r="574" spans="5:8" ht="15" customHeight="1" x14ac:dyDescent="0.4">
      <c r="E574" s="66"/>
      <c r="F574" s="66"/>
      <c r="G574" s="66"/>
      <c r="H574" s="66"/>
    </row>
    <row r="575" spans="5:8" ht="15" customHeight="1" x14ac:dyDescent="0.4">
      <c r="E575" s="66"/>
      <c r="F575" s="66"/>
      <c r="G575" s="66"/>
      <c r="H575" s="66"/>
    </row>
    <row r="576" spans="5:8" ht="15" customHeight="1" x14ac:dyDescent="0.4">
      <c r="E576" s="66"/>
      <c r="F576" s="66"/>
      <c r="G576" s="66"/>
      <c r="H576" s="66"/>
    </row>
    <row r="577" spans="5:8" ht="15" customHeight="1" x14ac:dyDescent="0.4">
      <c r="E577" s="66"/>
      <c r="F577" s="66"/>
      <c r="G577" s="66"/>
      <c r="H577" s="66"/>
    </row>
    <row r="578" spans="5:8" ht="15" customHeight="1" x14ac:dyDescent="0.4">
      <c r="E578" s="66"/>
      <c r="F578" s="66"/>
      <c r="G578" s="66"/>
      <c r="H578" s="66"/>
    </row>
    <row r="579" spans="5:8" ht="15" customHeight="1" x14ac:dyDescent="0.4">
      <c r="E579" s="66"/>
      <c r="F579" s="66"/>
      <c r="G579" s="66"/>
      <c r="H579" s="66"/>
    </row>
    <row r="580" spans="5:8" ht="15" customHeight="1" x14ac:dyDescent="0.4">
      <c r="E580" s="66"/>
      <c r="F580" s="66"/>
      <c r="G580" s="66"/>
      <c r="H580" s="66"/>
    </row>
    <row r="581" spans="5:8" ht="15" customHeight="1" x14ac:dyDescent="0.4">
      <c r="E581" s="66"/>
      <c r="F581" s="66"/>
      <c r="G581" s="66"/>
      <c r="H581" s="66"/>
    </row>
    <row r="582" spans="5:8" ht="15" customHeight="1" x14ac:dyDescent="0.4">
      <c r="E582" s="66"/>
      <c r="F582" s="66"/>
      <c r="G582" s="66"/>
      <c r="H582" s="66"/>
    </row>
    <row r="583" spans="5:8" ht="15" customHeight="1" x14ac:dyDescent="0.4">
      <c r="E583" s="66"/>
      <c r="F583" s="66"/>
      <c r="G583" s="66"/>
      <c r="H583" s="66"/>
    </row>
    <row r="584" spans="5:8" ht="15" customHeight="1" x14ac:dyDescent="0.4">
      <c r="E584" s="66"/>
      <c r="F584" s="66"/>
      <c r="G584" s="66"/>
      <c r="H584" s="66"/>
    </row>
    <row r="585" spans="5:8" ht="15" customHeight="1" x14ac:dyDescent="0.4">
      <c r="E585" s="66"/>
      <c r="F585" s="66"/>
      <c r="G585" s="66"/>
      <c r="H585" s="66"/>
    </row>
    <row r="586" spans="5:8" ht="15" customHeight="1" x14ac:dyDescent="0.4">
      <c r="E586" s="66"/>
      <c r="F586" s="66"/>
      <c r="G586" s="66"/>
      <c r="H586" s="66"/>
    </row>
    <row r="587" spans="5:8" ht="15" customHeight="1" x14ac:dyDescent="0.4">
      <c r="E587" s="66"/>
      <c r="F587" s="66"/>
      <c r="G587" s="66"/>
      <c r="H587" s="66"/>
    </row>
    <row r="588" spans="5:8" ht="15" customHeight="1" x14ac:dyDescent="0.4">
      <c r="E588" s="66"/>
      <c r="F588" s="66"/>
      <c r="G588" s="66"/>
      <c r="H588" s="66"/>
    </row>
    <row r="589" spans="5:8" ht="15" customHeight="1" x14ac:dyDescent="0.4">
      <c r="E589" s="66"/>
      <c r="F589" s="66"/>
      <c r="G589" s="66"/>
      <c r="H589" s="66"/>
    </row>
    <row r="590" spans="5:8" ht="15" customHeight="1" x14ac:dyDescent="0.4">
      <c r="E590" s="66"/>
      <c r="F590" s="66"/>
      <c r="G590" s="66"/>
      <c r="H590" s="66"/>
    </row>
    <row r="591" spans="5:8" ht="15" customHeight="1" x14ac:dyDescent="0.4">
      <c r="E591" s="66"/>
      <c r="F591" s="66"/>
      <c r="G591" s="66"/>
      <c r="H591" s="66"/>
    </row>
    <row r="592" spans="5:8" ht="15" customHeight="1" x14ac:dyDescent="0.4">
      <c r="E592" s="66"/>
      <c r="F592" s="66"/>
      <c r="G592" s="66"/>
      <c r="H592" s="66"/>
    </row>
    <row r="593" spans="5:8" ht="15" customHeight="1" x14ac:dyDescent="0.4">
      <c r="E593" s="66"/>
      <c r="F593" s="66"/>
      <c r="G593" s="66"/>
      <c r="H593" s="66"/>
    </row>
    <row r="594" spans="5:8" ht="15" customHeight="1" x14ac:dyDescent="0.4">
      <c r="E594" s="66"/>
      <c r="F594" s="66"/>
      <c r="G594" s="66"/>
      <c r="H594" s="66"/>
    </row>
    <row r="595" spans="5:8" ht="15" customHeight="1" x14ac:dyDescent="0.4">
      <c r="E595" s="66"/>
      <c r="F595" s="66"/>
      <c r="G595" s="66"/>
      <c r="H595" s="66"/>
    </row>
    <row r="596" spans="5:8" ht="15" customHeight="1" x14ac:dyDescent="0.4">
      <c r="E596" s="66"/>
      <c r="F596" s="66"/>
      <c r="G596" s="66"/>
      <c r="H596" s="66"/>
    </row>
    <row r="597" spans="5:8" ht="15" customHeight="1" x14ac:dyDescent="0.4">
      <c r="E597" s="66"/>
      <c r="F597" s="66"/>
      <c r="G597" s="66"/>
      <c r="H597" s="66"/>
    </row>
    <row r="598" spans="5:8" ht="15" customHeight="1" x14ac:dyDescent="0.4">
      <c r="E598" s="66"/>
      <c r="F598" s="66"/>
      <c r="G598" s="66"/>
      <c r="H598" s="66"/>
    </row>
    <row r="599" spans="5:8" ht="15" customHeight="1" x14ac:dyDescent="0.4">
      <c r="E599" s="66"/>
      <c r="F599" s="66"/>
      <c r="G599" s="66"/>
      <c r="H599" s="66"/>
    </row>
  </sheetData>
  <autoFilter ref="A2:Q154"/>
  <mergeCells count="1">
    <mergeCell ref="A1:B1"/>
  </mergeCells>
  <printOptions horizontalCentered="1" gridLines="1" gridLinesSet="0"/>
  <pageMargins left="0.25" right="0.25" top="0.75" bottom="1" header="0" footer="0"/>
  <pageSetup paperSize="5" scale="70" orientation="landscape" horizontalDpi="4294967292" verticalDpi="300" r:id="rId1"/>
  <headerFooter alignWithMargins="0">
    <oddHeader>&amp;C&amp;"Arial,Bold"SCHOOL DISTRICT LEVIES
2014 PAYABLE 2015</oddHeader>
    <oddFooter xml:space="preserve">&amp;L* Denotes not applicable to entire school district valuations or includes additional valuations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topLeftCell="A7" workbookViewId="0">
      <selection activeCell="D24" sqref="D24"/>
    </sheetView>
  </sheetViews>
  <sheetFormatPr defaultColWidth="12.5703125" defaultRowHeight="15" x14ac:dyDescent="0.25"/>
  <cols>
    <col min="1" max="1" width="48.85546875" bestFit="1" customWidth="1"/>
    <col min="2" max="2" width="13.5703125" bestFit="1" customWidth="1"/>
    <col min="3" max="3" width="14.28515625" customWidth="1"/>
  </cols>
  <sheetData>
    <row r="1" spans="1:14" s="3" customFormat="1" ht="27" x14ac:dyDescent="0.65">
      <c r="A1" s="144" t="s">
        <v>221</v>
      </c>
      <c r="B1" s="144"/>
      <c r="C1" s="144"/>
      <c r="D1" s="145" t="s">
        <v>129</v>
      </c>
      <c r="E1" s="145"/>
      <c r="F1" s="145"/>
      <c r="G1" s="145"/>
      <c r="H1" s="145"/>
      <c r="I1" s="114"/>
      <c r="J1" s="125">
        <f>INDEX('District Data'!$A$3:$A$154,MATCH($D$1,'District Data'!$B$3:$B$154,0),0)</f>
        <v>6001</v>
      </c>
      <c r="K1" s="114"/>
      <c r="L1" s="114"/>
      <c r="M1" s="114"/>
      <c r="N1" s="114"/>
    </row>
    <row r="2" spans="1:14" s="7" customFormat="1" ht="27" x14ac:dyDescent="0.65">
      <c r="A2" s="138"/>
      <c r="B2" s="138"/>
      <c r="C2" s="138"/>
      <c r="D2" s="129"/>
      <c r="E2" s="139"/>
      <c r="G2" s="128"/>
      <c r="H2" s="114"/>
      <c r="K2" s="114"/>
      <c r="L2" s="114"/>
      <c r="M2" s="114"/>
      <c r="N2" s="114"/>
    </row>
    <row r="3" spans="1:14" ht="15.75" x14ac:dyDescent="0.3">
      <c r="A3" t="s">
        <v>223</v>
      </c>
      <c r="B3" s="137">
        <f>INDEX('District Data'!$O$3:$O$154,MATCH($J$1,'District Data'!$A$3:$A$154,0),0)</f>
        <v>4255.4799999999996</v>
      </c>
    </row>
    <row r="4" spans="1:14" ht="15.75" x14ac:dyDescent="0.3">
      <c r="A4" t="s">
        <v>224</v>
      </c>
      <c r="B4" s="137">
        <f>INDEX('District Data'!$P$3:$P$154,MATCH($J$1,'District Data'!$A$3:$A$154,0),0)</f>
        <v>4351.5200000000004</v>
      </c>
    </row>
    <row r="5" spans="1:14" ht="15.75" x14ac:dyDescent="0.3">
      <c r="A5" t="s">
        <v>225</v>
      </c>
      <c r="B5" s="137">
        <f>INDEX('District Data'!$Q$3:$Q$154,MATCH($J$1,'District Data'!$A$3:$A$154,0),0)</f>
        <v>4470.79</v>
      </c>
    </row>
    <row r="6" spans="1:14" ht="15.75" x14ac:dyDescent="0.3">
      <c r="A6" t="s">
        <v>207</v>
      </c>
      <c r="B6" s="127">
        <f>INDEX('District Data'!$H$3:$H$154,MATCH($J$1,'District Data'!$A$3:$A$154,0),0)</f>
        <v>21856614</v>
      </c>
    </row>
    <row r="7" spans="1:14" ht="15.75" x14ac:dyDescent="0.3">
      <c r="A7" t="s">
        <v>208</v>
      </c>
      <c r="B7" s="127">
        <f>INDEX('District Data'!$G$3:$G$154,MATCH($J$1,'District Data'!$A$3:$A$154,0),0)</f>
        <v>614329.52520000003</v>
      </c>
    </row>
    <row r="8" spans="1:14" ht="15.75" x14ac:dyDescent="0.3">
      <c r="A8" t="s">
        <v>226</v>
      </c>
      <c r="B8" s="127">
        <f>INDEX('District Data'!$N$3:$N$154,MATCH($J$1,'District Data'!$A$3:$A$154,0),0)</f>
        <v>24488545.377900001</v>
      </c>
    </row>
    <row r="9" spans="1:14" x14ac:dyDescent="0.25">
      <c r="A9" t="s">
        <v>209</v>
      </c>
      <c r="B9" s="130">
        <v>0.02</v>
      </c>
    </row>
    <row r="11" spans="1:14" ht="45" x14ac:dyDescent="0.25">
      <c r="A11" s="136" t="s">
        <v>222</v>
      </c>
      <c r="B11" s="131" t="s">
        <v>210</v>
      </c>
      <c r="C11" s="131" t="s">
        <v>211</v>
      </c>
      <c r="D11" s="131" t="s">
        <v>212</v>
      </c>
      <c r="E11" s="131" t="s">
        <v>213</v>
      </c>
      <c r="F11" s="131" t="s">
        <v>214</v>
      </c>
    </row>
    <row r="12" spans="1:14" x14ac:dyDescent="0.25">
      <c r="A12" s="132" t="s">
        <v>215</v>
      </c>
      <c r="B12" s="133">
        <f>B5</f>
        <v>4470.79</v>
      </c>
      <c r="C12" s="133">
        <f>IF(AVERAGE(B3:B4)&gt;B12,AVERAGE(B3:B4),B12)</f>
        <v>4470.79</v>
      </c>
      <c r="D12" s="134">
        <f>B6</f>
        <v>21856614</v>
      </c>
      <c r="E12" s="134">
        <f>D12+B$7</f>
        <v>22470943.525200002</v>
      </c>
      <c r="F12" s="134"/>
    </row>
    <row r="13" spans="1:14" x14ac:dyDescent="0.25">
      <c r="A13" s="132" t="s">
        <v>216</v>
      </c>
      <c r="B13" s="133">
        <f>B12</f>
        <v>4470.79</v>
      </c>
      <c r="C13" s="133">
        <f>IF(AVERAGE(B4:B5)&gt;B13,AVERAGE(B4:B5),B13)</f>
        <v>4470.79</v>
      </c>
      <c r="D13" s="134">
        <f>D12*(1+B$9)/C12*C13</f>
        <v>22293746.280000001</v>
      </c>
      <c r="E13" s="134">
        <f>D13+B$7</f>
        <v>22908075.805200003</v>
      </c>
      <c r="F13" s="134">
        <f>B8</f>
        <v>24488545.377900001</v>
      </c>
    </row>
    <row r="14" spans="1:14" x14ac:dyDescent="0.25">
      <c r="A14" s="132" t="s">
        <v>217</v>
      </c>
      <c r="B14" s="133">
        <f>B13</f>
        <v>4470.79</v>
      </c>
      <c r="C14" s="133">
        <f>IF(AVERAGE(B5,B13)&gt;B14,AVERAGE(B5,B13),B14)</f>
        <v>4470.79</v>
      </c>
      <c r="D14" s="134">
        <f t="shared" ref="D14:D16" si="0">D13*(1+B$9)/C13*C14</f>
        <v>22739621.205600001</v>
      </c>
      <c r="E14" s="134">
        <f t="shared" ref="E14:E16" si="1">D14+B$7</f>
        <v>23353950.730800003</v>
      </c>
      <c r="F14" s="134">
        <f t="shared" ref="F14:F16" si="2">F13/B13*B14*(1+B$9)</f>
        <v>24978316.285458002</v>
      </c>
    </row>
    <row r="15" spans="1:14" x14ac:dyDescent="0.25">
      <c r="A15" s="132" t="s">
        <v>218</v>
      </c>
      <c r="B15" s="133">
        <f>B14</f>
        <v>4470.79</v>
      </c>
      <c r="C15" s="133">
        <f>IF(AVERAGE(B13:B14)&gt;B15,AVERAGE(B13:B14),B15)</f>
        <v>4470.79</v>
      </c>
      <c r="D15" s="134">
        <f t="shared" si="0"/>
        <v>23194413.629712</v>
      </c>
      <c r="E15" s="134">
        <f t="shared" si="1"/>
        <v>23808743.154912002</v>
      </c>
      <c r="F15" s="134">
        <f t="shared" si="2"/>
        <v>25477882.611167159</v>
      </c>
    </row>
    <row r="16" spans="1:14" x14ac:dyDescent="0.25">
      <c r="A16" s="132" t="s">
        <v>219</v>
      </c>
      <c r="B16" s="133">
        <f>B15</f>
        <v>4470.79</v>
      </c>
      <c r="C16" s="133">
        <f>IF(AVERAGE(B14:B15)&gt;B16,AVERAGE(B14:B15),B16)</f>
        <v>4470.79</v>
      </c>
      <c r="D16" s="134">
        <f t="shared" si="0"/>
        <v>23658301.90230624</v>
      </c>
      <c r="E16" s="134">
        <f t="shared" si="1"/>
        <v>24272631.427506238</v>
      </c>
      <c r="F16" s="134">
        <f t="shared" si="2"/>
        <v>25987440.263390504</v>
      </c>
    </row>
    <row r="20" spans="1:6" x14ac:dyDescent="0.25">
      <c r="A20" t="s">
        <v>220</v>
      </c>
      <c r="F20" s="134"/>
    </row>
    <row r="21" spans="1:6" ht="23.25" x14ac:dyDescent="0.35">
      <c r="A21" s="135">
        <f>SUM(F13:F16)-SUM(E13:E16)</f>
        <v>6588783.4194974303</v>
      </c>
      <c r="F21" s="134"/>
    </row>
    <row r="22" spans="1:6" x14ac:dyDescent="0.25">
      <c r="F22" s="134"/>
    </row>
    <row r="23" spans="1:6" x14ac:dyDescent="0.25">
      <c r="F23" s="134"/>
    </row>
    <row r="24" spans="1:6" x14ac:dyDescent="0.25">
      <c r="F24" s="134"/>
    </row>
    <row r="25" spans="1:6" x14ac:dyDescent="0.25">
      <c r="F25" s="134"/>
    </row>
    <row r="26" spans="1:6" x14ac:dyDescent="0.25">
      <c r="F26" s="134"/>
    </row>
    <row r="27" spans="1:6" x14ac:dyDescent="0.25">
      <c r="F27" s="134"/>
    </row>
    <row r="28" spans="1:6" x14ac:dyDescent="0.25">
      <c r="F28" s="134"/>
    </row>
    <row r="29" spans="1:6" x14ac:dyDescent="0.25">
      <c r="F29" s="134"/>
    </row>
    <row r="30" spans="1:6" x14ac:dyDescent="0.25">
      <c r="F30" s="134"/>
    </row>
    <row r="31" spans="1:6" x14ac:dyDescent="0.25">
      <c r="F31" s="134"/>
    </row>
    <row r="32" spans="1:6" x14ac:dyDescent="0.25">
      <c r="F32" s="134"/>
    </row>
  </sheetData>
  <mergeCells count="2">
    <mergeCell ref="A1:C1"/>
    <mergeCell ref="D1:H1"/>
  </mergeCells>
  <dataValidations count="1">
    <dataValidation type="list" allowBlank="1" showInputMessage="1" showErrorMessage="1" sqref="D1">
      <formula1>DistrictName</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Accountabilities</vt:lpstr>
      <vt:lpstr>District Data</vt:lpstr>
      <vt:lpstr>Compare Old vs New</vt:lpstr>
      <vt:lpstr>DistrictName</vt:lpstr>
      <vt:lpstr>Accountabilities!Print_Area</vt:lpstr>
      <vt:lpstr>'District Data'!Print_Area</vt:lpstr>
      <vt:lpstr>'District Data'!Print_Area_MI</vt:lpstr>
    </vt:vector>
  </TitlesOfParts>
  <Company>State of South Dakota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Darnall, Tamara</dc:creator>
  <cp:lastModifiedBy>Darnall, Tamara</cp:lastModifiedBy>
  <cp:lastPrinted>2016-03-15T20:49:47Z</cp:lastPrinted>
  <dcterms:created xsi:type="dcterms:W3CDTF">2015-01-14T17:01:32Z</dcterms:created>
  <dcterms:modified xsi:type="dcterms:W3CDTF">2016-03-22T13:25:21Z</dcterms:modified>
</cp:coreProperties>
</file>