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13_ncr:1_{5221E202-682D-4EBB-A7D2-5B471C0FFFD2}" xr6:coauthVersionLast="36" xr6:coauthVersionMax="36" xr10:uidLastSave="{00000000-0000-0000-0000-000000000000}"/>
  <workbookProtection workbookPassword="C73F" lockStructure="1"/>
  <bookViews>
    <workbookView xWindow="0" yWindow="0" windowWidth="28800" windowHeight="12225" tabRatio="910" xr2:uid="{00000000-000D-0000-FFFF-FFFF00000000}"/>
  </bookViews>
  <sheets>
    <sheet name="1. Est. Gen State Aid Calc" sheetId="1" r:id="rId1"/>
    <sheet name="2. Revenue Comparison" sheetId="18" state="hidden" r:id="rId2"/>
    <sheet name="3. Prior Year Need Comparison" sheetId="4" state="hidden" r:id="rId3"/>
    <sheet name="4. BRTF v PSA Formula" sheetId="13" state="hidden" r:id="rId4"/>
    <sheet name="SAFE History" sheetId="10" state="hidden" r:id="rId5"/>
    <sheet name="Pay 2019 Valuations" sheetId="2" state="hidden" r:id="rId6"/>
    <sheet name="Other Rev Equalization FY20" sheetId="11" state="hidden" r:id="rId7"/>
    <sheet name="Other Rev Equalization FY19" sheetId="3" state="hidden" r:id="rId8"/>
    <sheet name="FY19 Need Calc" sheetId="8" state="hidden" r:id="rId9"/>
    <sheet name="FY19 State Aid" sheetId="7" state="hidden" r:id="rId10"/>
    <sheet name="FY18 Need Calc" sheetId="9" state="hidden" r:id="rId11"/>
    <sheet name="FY18 State Aid" sheetId="5" state="hidden" r:id="rId12"/>
    <sheet name="FY2017 GSA Need Calculation" sheetId="16" state="hidden" r:id="rId13"/>
    <sheet name="FY17 State Aid" sheetId="17" state="hidden" r:id="rId14"/>
    <sheet name="FY18 Other Rev Actual" sheetId="14" state="hidden" r:id="rId15"/>
    <sheet name="FY17 Other Rev Actual" sheetId="15" state="hidden" r:id="rId16"/>
  </sheets>
  <externalReferences>
    <externalReference r:id="rId17"/>
    <externalReference r:id="rId18"/>
    <externalReference r:id="rId19"/>
  </externalReferences>
  <definedNames>
    <definedName name="_51002" localSheetId="13">[1]Districts!#REF!</definedName>
    <definedName name="_51002" localSheetId="10">[1]Districts!#REF!</definedName>
    <definedName name="_51002" localSheetId="14">[1]Districts!#REF!</definedName>
    <definedName name="_51002" localSheetId="8">[1]Districts!#REF!</definedName>
    <definedName name="_51002" localSheetId="9">[1]Districts!#REF!</definedName>
    <definedName name="_51002" localSheetId="12">[1]Districts!#REF!</definedName>
    <definedName name="_51002" localSheetId="6">[1]Districts!#REF!</definedName>
    <definedName name="_51002" localSheetId="4">[1]Districts!#REF!</definedName>
    <definedName name="_51002">[1]Districts!#REF!</definedName>
    <definedName name="_xlnm._FilterDatabase" localSheetId="15" hidden="1">'FY17 Other Rev Actual'!$A$3:$I$155</definedName>
    <definedName name="_xlnm._FilterDatabase" localSheetId="13" hidden="1">'FY17 State Aid'!$A$1:$L$152</definedName>
    <definedName name="_xlnm._FilterDatabase" localSheetId="10" hidden="1">'FY18 Need Calc'!$A$2:$O$152</definedName>
    <definedName name="_xlnm._FilterDatabase" localSheetId="14" hidden="1">'FY18 Other Rev Actual'!$A$3:$N$3</definedName>
    <definedName name="_xlnm._FilterDatabase" localSheetId="11" hidden="1">'FY18 State Aid'!$A$1:$K$1</definedName>
    <definedName name="_xlnm._FilterDatabase" localSheetId="8" hidden="1">'FY19 Need Calc'!$A$5:$M$155</definedName>
    <definedName name="_xlnm._FilterDatabase" localSheetId="9" hidden="1">'FY19 State Aid'!$A$4:$L$4</definedName>
    <definedName name="_xlnm._FilterDatabase" localSheetId="12" hidden="1">'FY2017 GSA Need Calculation'!$A$2:$O$153</definedName>
    <definedName name="_xlnm._FilterDatabase" localSheetId="6" hidden="1">'Other Rev Equalization FY20'!$A$3:$I$153</definedName>
    <definedName name="_xlnm._FilterDatabase" localSheetId="4" hidden="1">'SAFE History'!$A$3:$Q$152</definedName>
    <definedName name="_Key1" localSheetId="15" hidden="1">#REF!</definedName>
    <definedName name="_Key1" localSheetId="13" hidden="1">#REF!</definedName>
    <definedName name="_Key1" localSheetId="10" hidden="1">#REF!</definedName>
    <definedName name="_Key1" localSheetId="14" hidden="1">#REF!</definedName>
    <definedName name="_Key1" localSheetId="11" hidden="1">#REF!</definedName>
    <definedName name="_Key1" localSheetId="8" hidden="1">#REF!</definedName>
    <definedName name="_Key1" localSheetId="9" hidden="1">#REF!</definedName>
    <definedName name="_Key1" localSheetId="12" hidden="1">#REF!</definedName>
    <definedName name="_Key1" localSheetId="6" hidden="1">#REF!</definedName>
    <definedName name="_Key1" localSheetId="4" hidden="1">#REF!</definedName>
    <definedName name="_Key1" hidden="1">#REF!</definedName>
    <definedName name="_Order1" hidden="1">255</definedName>
    <definedName name="_Sort" localSheetId="15" hidden="1">#REF!</definedName>
    <definedName name="_Sort" localSheetId="13" hidden="1">#REF!</definedName>
    <definedName name="_Sort" localSheetId="10" hidden="1">#REF!</definedName>
    <definedName name="_Sort" localSheetId="14" hidden="1">#REF!</definedName>
    <definedName name="_Sort" localSheetId="11" hidden="1">#REF!</definedName>
    <definedName name="_Sort" localSheetId="8" hidden="1">#REF!</definedName>
    <definedName name="_Sort" localSheetId="9" hidden="1">#REF!</definedName>
    <definedName name="_Sort" localSheetId="12" hidden="1">#REF!</definedName>
    <definedName name="_Sort" localSheetId="6" hidden="1">#REF!</definedName>
    <definedName name="_Sort" localSheetId="4" hidden="1">#REF!</definedName>
    <definedName name="_Sort" hidden="1">#REF!</definedName>
    <definedName name="Acc_Enrollment" localSheetId="15">#REF!</definedName>
    <definedName name="Acc_Enrollment" localSheetId="13">#REF!</definedName>
    <definedName name="Acc_Enrollment" localSheetId="10">#REF!</definedName>
    <definedName name="Acc_Enrollment" localSheetId="14">#REF!</definedName>
    <definedName name="Acc_Enrollment" localSheetId="8">#REF!</definedName>
    <definedName name="Acc_Enrollment" localSheetId="9">#REF!</definedName>
    <definedName name="Acc_Enrollment" localSheetId="12">#REF!</definedName>
    <definedName name="Acc_Enrollment" localSheetId="6">#REF!</definedName>
    <definedName name="Acc_Enrollment" localSheetId="4">#REF!</definedName>
    <definedName name="Acc_Enrollment">#REF!</definedName>
    <definedName name="ACT_COMPOSITE" localSheetId="15">#REF!</definedName>
    <definedName name="ACT_COMPOSITE" localSheetId="13">#REF!</definedName>
    <definedName name="ACT_COMPOSITE" localSheetId="10">#REF!</definedName>
    <definedName name="ACT_COMPOSITE" localSheetId="14">#REF!</definedName>
    <definedName name="ACT_COMPOSITE" localSheetId="8">#REF!</definedName>
    <definedName name="ACT_COMPOSITE" localSheetId="9">#REF!</definedName>
    <definedName name="ACT_COMPOSITE" localSheetId="12">#REF!</definedName>
    <definedName name="ACT_COMPOSITE" localSheetId="6">#REF!</definedName>
    <definedName name="ACT_COMPOSITE" localSheetId="4">#REF!</definedName>
    <definedName name="ACT_COMPOSITE">#REF!</definedName>
    <definedName name="ACT_NUMBER_TESTED" localSheetId="15">#REF!</definedName>
    <definedName name="ACT_NUMBER_TESTED" localSheetId="13">#REF!</definedName>
    <definedName name="ACT_NUMBER_TESTED" localSheetId="10">#REF!</definedName>
    <definedName name="ACT_NUMBER_TESTED" localSheetId="14">#REF!</definedName>
    <definedName name="ACT_NUMBER_TESTED" localSheetId="8">#REF!</definedName>
    <definedName name="ACT_NUMBER_TESTED" localSheetId="9">#REF!</definedName>
    <definedName name="ACT_NUMBER_TESTED" localSheetId="12">#REF!</definedName>
    <definedName name="ACT_NUMBER_TESTED" localSheetId="6">#REF!</definedName>
    <definedName name="ACT_NUMBER_TESTED" localSheetId="4">#REF!</definedName>
    <definedName name="ACT_NUMBER_TESTED">#REF!</definedName>
    <definedName name="All_Other" localSheetId="15">#REF!</definedName>
    <definedName name="All_Other" localSheetId="13">#REF!</definedName>
    <definedName name="All_Other" localSheetId="10">#REF!</definedName>
    <definedName name="All_Other" localSheetId="14">#REF!</definedName>
    <definedName name="All_Other" localSheetId="8">#REF!</definedName>
    <definedName name="All_Other" localSheetId="9">#REF!</definedName>
    <definedName name="All_Other" localSheetId="12">#REF!</definedName>
    <definedName name="All_Other" localSheetId="6">#REF!</definedName>
    <definedName name="All_Other" localSheetId="4">#REF!</definedName>
    <definedName name="All_Other">#REF!</definedName>
    <definedName name="ATTENDANCE_RATES" localSheetId="15">#REF!</definedName>
    <definedName name="ATTENDANCE_RATES" localSheetId="13">#REF!</definedName>
    <definedName name="ATTENDANCE_RATES" localSheetId="10">#REF!</definedName>
    <definedName name="ATTENDANCE_RATES" localSheetId="14">#REF!</definedName>
    <definedName name="ATTENDANCE_RATES" localSheetId="8">#REF!</definedName>
    <definedName name="ATTENDANCE_RATES" localSheetId="9">#REF!</definedName>
    <definedName name="ATTENDANCE_RATES" localSheetId="12">#REF!</definedName>
    <definedName name="ATTENDANCE_RATES" localSheetId="6">#REF!</definedName>
    <definedName name="ATTENDANCE_RATES" localSheetId="4">#REF!</definedName>
    <definedName name="ATTENDANCE_RATES">#REF!</definedName>
    <definedName name="Average_Daily_Attendance" localSheetId="15">#REF!</definedName>
    <definedName name="Average_Daily_Attendance" localSheetId="13">#REF!</definedName>
    <definedName name="Average_Daily_Attendance" localSheetId="10">#REF!</definedName>
    <definedName name="Average_Daily_Attendance" localSheetId="14">#REF!</definedName>
    <definedName name="Average_Daily_Attendance" localSheetId="8">#REF!</definedName>
    <definedName name="Average_Daily_Attendance" localSheetId="9">#REF!</definedName>
    <definedName name="Average_Daily_Attendance" localSheetId="12">#REF!</definedName>
    <definedName name="Average_Daily_Attendance" localSheetId="6">#REF!</definedName>
    <definedName name="Average_Daily_Attendance" localSheetId="4">#REF!</definedName>
    <definedName name="Average_Daily_Attendance">#REF!</definedName>
    <definedName name="Average_Daily_Membership" localSheetId="15">#REF!</definedName>
    <definedName name="Average_Daily_Membership" localSheetId="13">#REF!</definedName>
    <definedName name="Average_Daily_Membership" localSheetId="10">#REF!</definedName>
    <definedName name="Average_Daily_Membership" localSheetId="14">#REF!</definedName>
    <definedName name="Average_Daily_Membership" localSheetId="8">#REF!</definedName>
    <definedName name="Average_Daily_Membership" localSheetId="9">#REF!</definedName>
    <definedName name="Average_Daily_Membership" localSheetId="12">#REF!</definedName>
    <definedName name="Average_Daily_Membership" localSheetId="6">#REF!</definedName>
    <definedName name="Average_Daily_Membership" localSheetId="4">#REF!</definedName>
    <definedName name="Average_Daily_Membership">#REF!</definedName>
    <definedName name="Average_District_Salary" localSheetId="15">#REF!</definedName>
    <definedName name="Average_District_Salary" localSheetId="13">#REF!</definedName>
    <definedName name="Average_District_Salary" localSheetId="10">#REF!</definedName>
    <definedName name="Average_District_Salary" localSheetId="14">#REF!</definedName>
    <definedName name="Average_District_Salary" localSheetId="8">#REF!</definedName>
    <definedName name="Average_District_Salary" localSheetId="9">#REF!</definedName>
    <definedName name="Average_District_Salary" localSheetId="12">#REF!</definedName>
    <definedName name="Average_District_Salary" localSheetId="6">#REF!</definedName>
    <definedName name="Average_District_Salary" localSheetId="4">#REF!</definedName>
    <definedName name="Average_District_Salary">#REF!</definedName>
    <definedName name="Average_Local_Exper" localSheetId="15">#REF!</definedName>
    <definedName name="Average_Local_Exper" localSheetId="13">#REF!</definedName>
    <definedName name="Average_Local_Exper" localSheetId="10">#REF!</definedName>
    <definedName name="Average_Local_Exper" localSheetId="14">#REF!</definedName>
    <definedName name="Average_Local_Exper" localSheetId="8">#REF!</definedName>
    <definedName name="Average_Local_Exper" localSheetId="9">#REF!</definedName>
    <definedName name="Average_Local_Exper" localSheetId="12">#REF!</definedName>
    <definedName name="Average_Local_Exper" localSheetId="6">#REF!</definedName>
    <definedName name="Average_Local_Exper" localSheetId="4">#REF!</definedName>
    <definedName name="Average_Local_Exper">#REF!</definedName>
    <definedName name="AVERAGE_SCHOOL_SALARY" localSheetId="15">#REF!</definedName>
    <definedName name="AVERAGE_SCHOOL_SALARY" localSheetId="13">#REF!</definedName>
    <definedName name="AVERAGE_SCHOOL_SALARY" localSheetId="10">#REF!</definedName>
    <definedName name="AVERAGE_SCHOOL_SALARY" localSheetId="14">#REF!</definedName>
    <definedName name="AVERAGE_SCHOOL_SALARY" localSheetId="8">#REF!</definedName>
    <definedName name="AVERAGE_SCHOOL_SALARY" localSheetId="9">#REF!</definedName>
    <definedName name="AVERAGE_SCHOOL_SALARY" localSheetId="12">#REF!</definedName>
    <definedName name="AVERAGE_SCHOOL_SALARY" localSheetId="6">#REF!</definedName>
    <definedName name="AVERAGE_SCHOOL_SALARY" localSheetId="4">#REF!</definedName>
    <definedName name="AVERAGE_SCHOOL_SALARY">#REF!</definedName>
    <definedName name="Average_Total_Exper" localSheetId="15">#REF!</definedName>
    <definedName name="Average_Total_Exper" localSheetId="13">#REF!</definedName>
    <definedName name="Average_Total_Exper" localSheetId="10">#REF!</definedName>
    <definedName name="Average_Total_Exper" localSheetId="14">#REF!</definedName>
    <definedName name="Average_Total_Exper" localSheetId="8">#REF!</definedName>
    <definedName name="Average_Total_Exper" localSheetId="9">#REF!</definedName>
    <definedName name="Average_Total_Exper" localSheetId="12">#REF!</definedName>
    <definedName name="Average_Total_Exper" localSheetId="6">#REF!</definedName>
    <definedName name="Average_Total_Exper" localSheetId="4">#REF!</definedName>
    <definedName name="Average_Total_Exper">#REF!</definedName>
    <definedName name="Counselor_FTE" localSheetId="15">#REF!</definedName>
    <definedName name="Counselor_FTE" localSheetId="13">#REF!</definedName>
    <definedName name="Counselor_FTE" localSheetId="10">#REF!</definedName>
    <definedName name="Counselor_FTE" localSheetId="14">#REF!</definedName>
    <definedName name="Counselor_FTE" localSheetId="8">#REF!</definedName>
    <definedName name="Counselor_FTE" localSheetId="9">#REF!</definedName>
    <definedName name="Counselor_FTE" localSheetId="12">#REF!</definedName>
    <definedName name="Counselor_FTE" localSheetId="6">#REF!</definedName>
    <definedName name="Counselor_FTE" localSheetId="4">#REF!</definedName>
    <definedName name="Counselor_FTE">#REF!</definedName>
    <definedName name="Counselor_Ratio" localSheetId="15">#REF!</definedName>
    <definedName name="Counselor_Ratio" localSheetId="13">#REF!</definedName>
    <definedName name="Counselor_Ratio" localSheetId="10">#REF!</definedName>
    <definedName name="Counselor_Ratio" localSheetId="14">#REF!</definedName>
    <definedName name="Counselor_Ratio" localSheetId="8">#REF!</definedName>
    <definedName name="Counselor_Ratio" localSheetId="9">#REF!</definedName>
    <definedName name="Counselor_Ratio" localSheetId="12">#REF!</definedName>
    <definedName name="Counselor_Ratio" localSheetId="6">#REF!</definedName>
    <definedName name="Counselor_Ratio" localSheetId="4">#REF!</definedName>
    <definedName name="Counselor_Ratio">#REF!</definedName>
    <definedName name="County_Gen_Fund_Revenue" localSheetId="15">#REF!</definedName>
    <definedName name="County_Gen_Fund_Revenue" localSheetId="13">#REF!</definedName>
    <definedName name="County_Gen_Fund_Revenue" localSheetId="10">#REF!</definedName>
    <definedName name="County_Gen_Fund_Revenue" localSheetId="14">#REF!</definedName>
    <definedName name="County_Gen_Fund_Revenue" localSheetId="8">#REF!</definedName>
    <definedName name="County_Gen_Fund_Revenue" localSheetId="9">#REF!</definedName>
    <definedName name="County_Gen_Fund_Revenue" localSheetId="12">#REF!</definedName>
    <definedName name="County_Gen_Fund_Revenue" localSheetId="6">#REF!</definedName>
    <definedName name="County_Gen_Fund_Revenue" localSheetId="4">#REF!</definedName>
    <definedName name="County_Gen_Fund_Revenue">#REF!</definedName>
    <definedName name="County_Spec_Fund_Revenue" localSheetId="15">#REF!</definedName>
    <definedName name="County_Spec_Fund_Revenue" localSheetId="13">#REF!</definedName>
    <definedName name="County_Spec_Fund_Revenue" localSheetId="10">#REF!</definedName>
    <definedName name="County_Spec_Fund_Revenue" localSheetId="14">#REF!</definedName>
    <definedName name="County_Spec_Fund_Revenue" localSheetId="8">#REF!</definedName>
    <definedName name="County_Spec_Fund_Revenue" localSheetId="9">#REF!</definedName>
    <definedName name="County_Spec_Fund_Revenue" localSheetId="12">#REF!</definedName>
    <definedName name="County_Spec_Fund_Revenue" localSheetId="6">#REF!</definedName>
    <definedName name="County_Spec_Fund_Revenue" localSheetId="4">#REF!</definedName>
    <definedName name="County_Spec_Fund_Revenue">#REF!</definedName>
    <definedName name="_xlnm.Criteria" localSheetId="15">#REF!</definedName>
    <definedName name="_xlnm.Criteria" localSheetId="13">#REF!</definedName>
    <definedName name="_xlnm.Criteria" localSheetId="10">#REF!</definedName>
    <definedName name="_xlnm.Criteria" localSheetId="14">#REF!</definedName>
    <definedName name="_xlnm.Criteria" localSheetId="8">#REF!</definedName>
    <definedName name="_xlnm.Criteria" localSheetId="9">#REF!</definedName>
    <definedName name="_xlnm.Criteria" localSheetId="12">#REF!</definedName>
    <definedName name="_xlnm.Criteria" localSheetId="6">#REF!</definedName>
    <definedName name="_xlnm.Criteria" localSheetId="4">#REF!</definedName>
    <definedName name="_xlnm.Criteria">#REF!</definedName>
    <definedName name="Cur_Select_01" localSheetId="15">#REF!</definedName>
    <definedName name="Cur_Select_01" localSheetId="13">#REF!</definedName>
    <definedName name="Cur_Select_01" localSheetId="10">#REF!</definedName>
    <definedName name="Cur_Select_01" localSheetId="14">#REF!</definedName>
    <definedName name="Cur_Select_01" localSheetId="8">#REF!</definedName>
    <definedName name="Cur_Select_01" localSheetId="9">#REF!</definedName>
    <definedName name="Cur_Select_01" localSheetId="12">#REF!</definedName>
    <definedName name="Cur_Select_01" localSheetId="6">#REF!</definedName>
    <definedName name="Cur_Select_01" localSheetId="4">#REF!</definedName>
    <definedName name="Cur_Select_01">#REF!</definedName>
    <definedName name="Cur_Select_02" localSheetId="15">#REF!</definedName>
    <definedName name="Cur_Select_02" localSheetId="13">#REF!</definedName>
    <definedName name="Cur_Select_02" localSheetId="10">#REF!</definedName>
    <definedName name="Cur_Select_02" localSheetId="14">#REF!</definedName>
    <definedName name="Cur_Select_02" localSheetId="8">#REF!</definedName>
    <definedName name="Cur_Select_02" localSheetId="9">#REF!</definedName>
    <definedName name="Cur_Select_02" localSheetId="12">#REF!</definedName>
    <definedName name="Cur_Select_02" localSheetId="6">#REF!</definedName>
    <definedName name="Cur_Select_02" localSheetId="4">#REF!</definedName>
    <definedName name="Cur_Select_02">#REF!</definedName>
    <definedName name="_xlnm.Database" localSheetId="15">#REF!</definedName>
    <definedName name="_xlnm.Database" localSheetId="13">#REF!</definedName>
    <definedName name="_xlnm.Database" localSheetId="10">#REF!</definedName>
    <definedName name="_xlnm.Database" localSheetId="14">#REF!</definedName>
    <definedName name="_xlnm.Database" localSheetId="8">#REF!</definedName>
    <definedName name="_xlnm.Database" localSheetId="9">#REF!</definedName>
    <definedName name="_xlnm.Database" localSheetId="12">#REF!</definedName>
    <definedName name="_xlnm.Database" localSheetId="6">#REF!</definedName>
    <definedName name="_xlnm.Database" localSheetId="4">#REF!</definedName>
    <definedName name="_xlnm.Database">#REF!</definedName>
    <definedName name="Database2" localSheetId="15">#REF!</definedName>
    <definedName name="Database2" localSheetId="13">#REF!</definedName>
    <definedName name="Database2" localSheetId="10">#REF!</definedName>
    <definedName name="Database2" localSheetId="14">#REF!</definedName>
    <definedName name="Database2" localSheetId="8">#REF!</definedName>
    <definedName name="Database2" localSheetId="9">#REF!</definedName>
    <definedName name="Database2" localSheetId="12">#REF!</definedName>
    <definedName name="Database2" localSheetId="6">#REF!</definedName>
    <definedName name="Database2" localSheetId="4">#REF!</definedName>
    <definedName name="Database2">#REF!</definedName>
    <definedName name="District" localSheetId="15">#REF!</definedName>
    <definedName name="District" localSheetId="13">#REF!</definedName>
    <definedName name="District" localSheetId="10">#REF!</definedName>
    <definedName name="District" localSheetId="14">#REF!</definedName>
    <definedName name="District" localSheetId="11">#REF!</definedName>
    <definedName name="District" localSheetId="8">#REF!</definedName>
    <definedName name="District" localSheetId="9">#REF!</definedName>
    <definedName name="District" localSheetId="12">#REF!</definedName>
    <definedName name="District" localSheetId="6">#REF!</definedName>
    <definedName name="District" localSheetId="4">#REF!</definedName>
    <definedName name="District">'1. Est. Gen State Aid Calc'!$B$3:$B$147</definedName>
    <definedName name="District_Attendance_Rate" localSheetId="15">#REF!</definedName>
    <definedName name="District_Attendance_Rate" localSheetId="13">#REF!</definedName>
    <definedName name="District_Attendance_Rate" localSheetId="10">#REF!</definedName>
    <definedName name="District_Attendance_Rate" localSheetId="14">#REF!</definedName>
    <definedName name="District_Attendance_Rate" localSheetId="8">#REF!</definedName>
    <definedName name="District_Attendance_Rate" localSheetId="9">#REF!</definedName>
    <definedName name="District_Attendance_Rate" localSheetId="12">#REF!</definedName>
    <definedName name="District_Attendance_Rate" localSheetId="6">#REF!</definedName>
    <definedName name="District_Attendance_Rate" localSheetId="4">#REF!</definedName>
    <definedName name="District_Attendance_Rate">#REF!</definedName>
    <definedName name="District_Code" localSheetId="15">#REF!</definedName>
    <definedName name="District_Code" localSheetId="13">#REF!</definedName>
    <definedName name="District_Code" localSheetId="10">#REF!</definedName>
    <definedName name="District_Code" localSheetId="14">#REF!</definedName>
    <definedName name="District_Code" localSheetId="8">#REF!</definedName>
    <definedName name="District_Code" localSheetId="9">#REF!</definedName>
    <definedName name="District_Code" localSheetId="12">#REF!</definedName>
    <definedName name="District_Code" localSheetId="6">#REF!</definedName>
    <definedName name="District_Code" localSheetId="4">#REF!</definedName>
    <definedName name="District_Code">#REF!</definedName>
    <definedName name="District_Name" localSheetId="15">#REF!</definedName>
    <definedName name="District_Name" localSheetId="13">#REF!</definedName>
    <definedName name="District_Name" localSheetId="10">#REF!</definedName>
    <definedName name="District_Name" localSheetId="14">#REF!</definedName>
    <definedName name="District_Name" localSheetId="8">#REF!</definedName>
    <definedName name="District_Name" localSheetId="9">#REF!</definedName>
    <definedName name="District_Name" localSheetId="12">#REF!</definedName>
    <definedName name="District_Name" localSheetId="6">#REF!</definedName>
    <definedName name="District_Name" localSheetId="4">#REF!</definedName>
    <definedName name="District_Name">#REF!</definedName>
    <definedName name="DROPOUTS" localSheetId="15">#REF!</definedName>
    <definedName name="DROPOUTS" localSheetId="13">#REF!</definedName>
    <definedName name="DROPOUTS" localSheetId="10">#REF!</definedName>
    <definedName name="DROPOUTS" localSheetId="14">#REF!</definedName>
    <definedName name="DROPOUTS" localSheetId="8">#REF!</definedName>
    <definedName name="DROPOUTS" localSheetId="9">#REF!</definedName>
    <definedName name="DROPOUTS" localSheetId="12">#REF!</definedName>
    <definedName name="DROPOUTS" localSheetId="6">#REF!</definedName>
    <definedName name="DROPOUTS" localSheetId="4">#REF!</definedName>
    <definedName name="DROPOUTS">#REF!</definedName>
    <definedName name="Dropouts_Rate_10" localSheetId="15">#REF!</definedName>
    <definedName name="Dropouts_Rate_10" localSheetId="13">#REF!</definedName>
    <definedName name="Dropouts_Rate_10" localSheetId="10">#REF!</definedName>
    <definedName name="Dropouts_Rate_10" localSheetId="14">#REF!</definedName>
    <definedName name="Dropouts_Rate_10" localSheetId="8">#REF!</definedName>
    <definedName name="Dropouts_Rate_10" localSheetId="9">#REF!</definedName>
    <definedName name="Dropouts_Rate_10" localSheetId="12">#REF!</definedName>
    <definedName name="Dropouts_Rate_10" localSheetId="6">#REF!</definedName>
    <definedName name="Dropouts_Rate_10" localSheetId="4">#REF!</definedName>
    <definedName name="Dropouts_Rate_10">#REF!</definedName>
    <definedName name="Dropouts_Rate_11" localSheetId="15">#REF!</definedName>
    <definedName name="Dropouts_Rate_11" localSheetId="13">#REF!</definedName>
    <definedName name="Dropouts_Rate_11" localSheetId="10">#REF!</definedName>
    <definedName name="Dropouts_Rate_11" localSheetId="14">#REF!</definedName>
    <definedName name="Dropouts_Rate_11" localSheetId="8">#REF!</definedName>
    <definedName name="Dropouts_Rate_11" localSheetId="9">#REF!</definedName>
    <definedName name="Dropouts_Rate_11" localSheetId="12">#REF!</definedName>
    <definedName name="Dropouts_Rate_11" localSheetId="6">#REF!</definedName>
    <definedName name="Dropouts_Rate_11" localSheetId="4">#REF!</definedName>
    <definedName name="Dropouts_Rate_11">#REF!</definedName>
    <definedName name="Dropouts_Rate_12" localSheetId="15">#REF!</definedName>
    <definedName name="Dropouts_Rate_12" localSheetId="13">#REF!</definedName>
    <definedName name="Dropouts_Rate_12" localSheetId="10">#REF!</definedName>
    <definedName name="Dropouts_Rate_12" localSheetId="14">#REF!</definedName>
    <definedName name="Dropouts_Rate_12" localSheetId="8">#REF!</definedName>
    <definedName name="Dropouts_Rate_12" localSheetId="9">#REF!</definedName>
    <definedName name="Dropouts_Rate_12" localSheetId="12">#REF!</definedName>
    <definedName name="Dropouts_Rate_12" localSheetId="6">#REF!</definedName>
    <definedName name="Dropouts_Rate_12" localSheetId="4">#REF!</definedName>
    <definedName name="Dropouts_Rate_12">#REF!</definedName>
    <definedName name="Dropouts_Rate_7" localSheetId="15">#REF!</definedName>
    <definedName name="Dropouts_Rate_7" localSheetId="13">#REF!</definedName>
    <definedName name="Dropouts_Rate_7" localSheetId="10">#REF!</definedName>
    <definedName name="Dropouts_Rate_7" localSheetId="14">#REF!</definedName>
    <definedName name="Dropouts_Rate_7" localSheetId="8">#REF!</definedName>
    <definedName name="Dropouts_Rate_7" localSheetId="9">#REF!</definedName>
    <definedName name="Dropouts_Rate_7" localSheetId="12">#REF!</definedName>
    <definedName name="Dropouts_Rate_7" localSheetId="6">#REF!</definedName>
    <definedName name="Dropouts_Rate_7" localSheetId="4">#REF!</definedName>
    <definedName name="Dropouts_Rate_7">#REF!</definedName>
    <definedName name="Dropouts_Rate_8" localSheetId="15">#REF!</definedName>
    <definedName name="Dropouts_Rate_8" localSheetId="13">#REF!</definedName>
    <definedName name="Dropouts_Rate_8" localSheetId="10">#REF!</definedName>
    <definedName name="Dropouts_Rate_8" localSheetId="14">#REF!</definedName>
    <definedName name="Dropouts_Rate_8" localSheetId="8">#REF!</definedName>
    <definedName name="Dropouts_Rate_8" localSheetId="9">#REF!</definedName>
    <definedName name="Dropouts_Rate_8" localSheetId="12">#REF!</definedName>
    <definedName name="Dropouts_Rate_8" localSheetId="6">#REF!</definedName>
    <definedName name="Dropouts_Rate_8" localSheetId="4">#REF!</definedName>
    <definedName name="Dropouts_Rate_8">#REF!</definedName>
    <definedName name="Dropouts_Rate_9" localSheetId="15">#REF!</definedName>
    <definedName name="Dropouts_Rate_9" localSheetId="13">#REF!</definedName>
    <definedName name="Dropouts_Rate_9" localSheetId="10">#REF!</definedName>
    <definedName name="Dropouts_Rate_9" localSheetId="14">#REF!</definedName>
    <definedName name="Dropouts_Rate_9" localSheetId="8">#REF!</definedName>
    <definedName name="Dropouts_Rate_9" localSheetId="9">#REF!</definedName>
    <definedName name="Dropouts_Rate_9" localSheetId="12">#REF!</definedName>
    <definedName name="Dropouts_Rate_9" localSheetId="6">#REF!</definedName>
    <definedName name="Dropouts_Rate_9" localSheetId="4">#REF!</definedName>
    <definedName name="Dropouts_Rate_9">#REF!</definedName>
    <definedName name="DUX" localSheetId="15">#REF!</definedName>
    <definedName name="DUX" localSheetId="13">#REF!</definedName>
    <definedName name="DUX" localSheetId="10">#REF!</definedName>
    <definedName name="DUX" localSheetId="14">#REF!</definedName>
    <definedName name="DUX" localSheetId="8">#REF!</definedName>
    <definedName name="DUX" localSheetId="9">#REF!</definedName>
    <definedName name="DUX" localSheetId="12">#REF!</definedName>
    <definedName name="DUX" localSheetId="6">#REF!</definedName>
    <definedName name="DUX" localSheetId="4">#REF!</definedName>
    <definedName name="DUX">#REF!</definedName>
    <definedName name="Employee_Benefits" localSheetId="15">#REF!</definedName>
    <definedName name="Employee_Benefits" localSheetId="13">#REF!</definedName>
    <definedName name="Employee_Benefits" localSheetId="10">#REF!</definedName>
    <definedName name="Employee_Benefits" localSheetId="14">#REF!</definedName>
    <definedName name="Employee_Benefits" localSheetId="8">#REF!</definedName>
    <definedName name="Employee_Benefits" localSheetId="9">#REF!</definedName>
    <definedName name="Employee_Benefits" localSheetId="12">#REF!</definedName>
    <definedName name="Employee_Benefits" localSheetId="6">#REF!</definedName>
    <definedName name="Employee_Benefits" localSheetId="4">#REF!</definedName>
    <definedName name="Employee_Benefits">#REF!</definedName>
    <definedName name="Employee_Salaries" localSheetId="15">#REF!</definedName>
    <definedName name="Employee_Salaries" localSheetId="13">#REF!</definedName>
    <definedName name="Employee_Salaries" localSheetId="10">#REF!</definedName>
    <definedName name="Employee_Salaries" localSheetId="14">#REF!</definedName>
    <definedName name="Employee_Salaries" localSheetId="8">#REF!</definedName>
    <definedName name="Employee_Salaries" localSheetId="9">#REF!</definedName>
    <definedName name="Employee_Salaries" localSheetId="12">#REF!</definedName>
    <definedName name="Employee_Salaries" localSheetId="6">#REF!</definedName>
    <definedName name="Employee_Salaries" localSheetId="4">#REF!</definedName>
    <definedName name="Employee_Salaries">#REF!</definedName>
    <definedName name="End_Year_Enrollment" localSheetId="15">#REF!</definedName>
    <definedName name="End_Year_Enrollment" localSheetId="13">#REF!</definedName>
    <definedName name="End_Year_Enrollment" localSheetId="10">#REF!</definedName>
    <definedName name="End_Year_Enrollment" localSheetId="14">#REF!</definedName>
    <definedName name="End_Year_Enrollment" localSheetId="8">#REF!</definedName>
    <definedName name="End_Year_Enrollment" localSheetId="9">#REF!</definedName>
    <definedName name="End_Year_Enrollment" localSheetId="12">#REF!</definedName>
    <definedName name="End_Year_Enrollment" localSheetId="6">#REF!</definedName>
    <definedName name="End_Year_Enrollment" localSheetId="4">#REF!</definedName>
    <definedName name="End_Year_Enrollment">#REF!</definedName>
    <definedName name="Expend_Per_Pupil" localSheetId="15">#REF!</definedName>
    <definedName name="Expend_Per_Pupil" localSheetId="13">#REF!</definedName>
    <definedName name="Expend_Per_Pupil" localSheetId="10">#REF!</definedName>
    <definedName name="Expend_Per_Pupil" localSheetId="14">#REF!</definedName>
    <definedName name="Expend_Per_Pupil" localSheetId="8">#REF!</definedName>
    <definedName name="Expend_Per_Pupil" localSheetId="9">#REF!</definedName>
    <definedName name="Expend_Per_Pupil" localSheetId="12">#REF!</definedName>
    <definedName name="Expend_Per_Pupil" localSheetId="6">#REF!</definedName>
    <definedName name="Expend_Per_Pupil" localSheetId="4">#REF!</definedName>
    <definedName name="Expend_Per_Pupil">#REF!</definedName>
    <definedName name="FALL_ENROLLMENT" localSheetId="15">#REF!</definedName>
    <definedName name="FALL_ENROLLMENT" localSheetId="13">#REF!</definedName>
    <definedName name="FALL_ENROLLMENT" localSheetId="10">#REF!</definedName>
    <definedName name="FALL_ENROLLMENT" localSheetId="14">#REF!</definedName>
    <definedName name="FALL_ENROLLMENT" localSheetId="8">#REF!</definedName>
    <definedName name="FALL_ENROLLMENT" localSheetId="9">#REF!</definedName>
    <definedName name="FALL_ENROLLMENT" localSheetId="12">#REF!</definedName>
    <definedName name="FALL_ENROLLMENT" localSheetId="6">#REF!</definedName>
    <definedName name="FALL_ENROLLMENT" localSheetId="4">#REF!</definedName>
    <definedName name="FALL_ENROLLMENT">#REF!</definedName>
    <definedName name="Federal_Gen_Fund_Revenue" localSheetId="15">#REF!</definedName>
    <definedName name="Federal_Gen_Fund_Revenue" localSheetId="13">#REF!</definedName>
    <definedName name="Federal_Gen_Fund_Revenue" localSheetId="10">#REF!</definedName>
    <definedName name="Federal_Gen_Fund_Revenue" localSheetId="14">#REF!</definedName>
    <definedName name="Federal_Gen_Fund_Revenue" localSheetId="8">#REF!</definedName>
    <definedName name="Federal_Gen_Fund_Revenue" localSheetId="9">#REF!</definedName>
    <definedName name="Federal_Gen_Fund_Revenue" localSheetId="12">#REF!</definedName>
    <definedName name="Federal_Gen_Fund_Revenue" localSheetId="6">#REF!</definedName>
    <definedName name="Federal_Gen_Fund_Revenue" localSheetId="4">#REF!</definedName>
    <definedName name="Federal_Gen_Fund_Revenue">#REF!</definedName>
    <definedName name="Federal_Spec_Fund_Revenue" localSheetId="15">#REF!</definedName>
    <definedName name="Federal_Spec_Fund_Revenue" localSheetId="13">#REF!</definedName>
    <definedName name="Federal_Spec_Fund_Revenue" localSheetId="10">#REF!</definedName>
    <definedName name="Federal_Spec_Fund_Revenue" localSheetId="14">#REF!</definedName>
    <definedName name="Federal_Spec_Fund_Revenue" localSheetId="8">#REF!</definedName>
    <definedName name="Federal_Spec_Fund_Revenue" localSheetId="9">#REF!</definedName>
    <definedName name="Federal_Spec_Fund_Revenue" localSheetId="12">#REF!</definedName>
    <definedName name="Federal_Spec_Fund_Revenue" localSheetId="6">#REF!</definedName>
    <definedName name="Federal_Spec_Fund_Revenue" localSheetId="4">#REF!</definedName>
    <definedName name="Federal_Spec_Fund_Revenue">#REF!</definedName>
    <definedName name="Fill1" localSheetId="15">#REF!</definedName>
    <definedName name="Fill1" localSheetId="13">#REF!</definedName>
    <definedName name="Fill1" localSheetId="10">#REF!</definedName>
    <definedName name="Fill1" localSheetId="14">#REF!</definedName>
    <definedName name="Fill1" localSheetId="8">#REF!</definedName>
    <definedName name="Fill1" localSheetId="9">#REF!</definedName>
    <definedName name="Fill1" localSheetId="12">#REF!</definedName>
    <definedName name="Fill1" localSheetId="6">#REF!</definedName>
    <definedName name="Fill1" localSheetId="4">#REF!</definedName>
    <definedName name="Fill1">#REF!</definedName>
    <definedName name="Fill10" localSheetId="15">#REF!</definedName>
    <definedName name="Fill10" localSheetId="13">#REF!</definedName>
    <definedName name="Fill10" localSheetId="10">#REF!</definedName>
    <definedName name="Fill10" localSheetId="14">#REF!</definedName>
    <definedName name="Fill10" localSheetId="8">#REF!</definedName>
    <definedName name="Fill10" localSheetId="9">#REF!</definedName>
    <definedName name="Fill10" localSheetId="12">#REF!</definedName>
    <definedName name="Fill10" localSheetId="6">#REF!</definedName>
    <definedName name="Fill10" localSheetId="4">#REF!</definedName>
    <definedName name="Fill10">#REF!</definedName>
    <definedName name="Fill11" localSheetId="15">#REF!</definedName>
    <definedName name="Fill11" localSheetId="13">#REF!</definedName>
    <definedName name="Fill11" localSheetId="10">#REF!</definedName>
    <definedName name="Fill11" localSheetId="14">#REF!</definedName>
    <definedName name="Fill11" localSheetId="8">#REF!</definedName>
    <definedName name="Fill11" localSheetId="9">#REF!</definedName>
    <definedName name="Fill11" localSheetId="12">#REF!</definedName>
    <definedName name="Fill11" localSheetId="6">#REF!</definedName>
    <definedName name="Fill11" localSheetId="4">#REF!</definedName>
    <definedName name="Fill11">#REF!</definedName>
    <definedName name="Fill12" localSheetId="15">#REF!</definedName>
    <definedName name="Fill12" localSheetId="13">#REF!</definedName>
    <definedName name="Fill12" localSheetId="10">#REF!</definedName>
    <definedName name="Fill12" localSheetId="14">#REF!</definedName>
    <definedName name="Fill12" localSheetId="8">#REF!</definedName>
    <definedName name="Fill12" localSheetId="9">#REF!</definedName>
    <definedName name="Fill12" localSheetId="12">#REF!</definedName>
    <definedName name="Fill12" localSheetId="6">#REF!</definedName>
    <definedName name="Fill12" localSheetId="4">#REF!</definedName>
    <definedName name="Fill12">#REF!</definedName>
    <definedName name="Fill13" localSheetId="15">#REF!</definedName>
    <definedName name="Fill13" localSheetId="13">#REF!</definedName>
    <definedName name="Fill13" localSheetId="10">#REF!</definedName>
    <definedName name="Fill13" localSheetId="14">#REF!</definedName>
    <definedName name="Fill13" localSheetId="8">#REF!</definedName>
    <definedName name="Fill13" localSheetId="9">#REF!</definedName>
    <definedName name="Fill13" localSheetId="12">#REF!</definedName>
    <definedName name="Fill13" localSheetId="6">#REF!</definedName>
    <definedName name="Fill13" localSheetId="4">#REF!</definedName>
    <definedName name="Fill13">#REF!</definedName>
    <definedName name="Fill14" localSheetId="15">#REF!</definedName>
    <definedName name="Fill14" localSheetId="13">#REF!</definedName>
    <definedName name="Fill14" localSheetId="10">#REF!</definedName>
    <definedName name="Fill14" localSheetId="14">#REF!</definedName>
    <definedName name="Fill14" localSheetId="8">#REF!</definedName>
    <definedName name="Fill14" localSheetId="9">#REF!</definedName>
    <definedName name="Fill14" localSheetId="12">#REF!</definedName>
    <definedName name="Fill14" localSheetId="6">#REF!</definedName>
    <definedName name="Fill14" localSheetId="4">#REF!</definedName>
    <definedName name="Fill14">#REF!</definedName>
    <definedName name="Fill15" localSheetId="15">#REF!</definedName>
    <definedName name="Fill15" localSheetId="13">#REF!</definedName>
    <definedName name="Fill15" localSheetId="10">#REF!</definedName>
    <definedName name="Fill15" localSheetId="14">#REF!</definedName>
    <definedName name="Fill15" localSheetId="8">#REF!</definedName>
    <definedName name="Fill15" localSheetId="9">#REF!</definedName>
    <definedName name="Fill15" localSheetId="12">#REF!</definedName>
    <definedName name="Fill15" localSheetId="6">#REF!</definedName>
    <definedName name="Fill15" localSheetId="4">#REF!</definedName>
    <definedName name="Fill15">#REF!</definedName>
    <definedName name="Fill16" localSheetId="15">#REF!</definedName>
    <definedName name="Fill16" localSheetId="13">#REF!</definedName>
    <definedName name="Fill16" localSheetId="10">#REF!</definedName>
    <definedName name="Fill16" localSheetId="14">#REF!</definedName>
    <definedName name="Fill16" localSheetId="8">#REF!</definedName>
    <definedName name="Fill16" localSheetId="9">#REF!</definedName>
    <definedName name="Fill16" localSheetId="12">#REF!</definedName>
    <definedName name="Fill16" localSheetId="6">#REF!</definedName>
    <definedName name="Fill16" localSheetId="4">#REF!</definedName>
    <definedName name="Fill16">#REF!</definedName>
    <definedName name="Fill17" localSheetId="15">#REF!</definedName>
    <definedName name="Fill17" localSheetId="13">#REF!</definedName>
    <definedName name="Fill17" localSheetId="10">#REF!</definedName>
    <definedName name="Fill17" localSheetId="14">#REF!</definedName>
    <definedName name="Fill17" localSheetId="8">#REF!</definedName>
    <definedName name="Fill17" localSheetId="9">#REF!</definedName>
    <definedName name="Fill17" localSheetId="12">#REF!</definedName>
    <definedName name="Fill17" localSheetId="6">#REF!</definedName>
    <definedName name="Fill17" localSheetId="4">#REF!</definedName>
    <definedName name="Fill17">#REF!</definedName>
    <definedName name="Fill2" localSheetId="15">#REF!</definedName>
    <definedName name="Fill2" localSheetId="13">#REF!</definedName>
    <definedName name="Fill2" localSheetId="10">#REF!</definedName>
    <definedName name="Fill2" localSheetId="14">#REF!</definedName>
    <definedName name="Fill2" localSheetId="8">#REF!</definedName>
    <definedName name="Fill2" localSheetId="9">#REF!</definedName>
    <definedName name="Fill2" localSheetId="12">#REF!</definedName>
    <definedName name="Fill2" localSheetId="6">#REF!</definedName>
    <definedName name="Fill2" localSheetId="4">#REF!</definedName>
    <definedName name="Fill2">#REF!</definedName>
    <definedName name="Fill3" localSheetId="15">#REF!</definedName>
    <definedName name="Fill3" localSheetId="13">#REF!</definedName>
    <definedName name="Fill3" localSheetId="10">#REF!</definedName>
    <definedName name="Fill3" localSheetId="14">#REF!</definedName>
    <definedName name="Fill3" localSheetId="8">#REF!</definedName>
    <definedName name="Fill3" localSheetId="9">#REF!</definedName>
    <definedName name="Fill3" localSheetId="12">#REF!</definedName>
    <definedName name="Fill3" localSheetId="6">#REF!</definedName>
    <definedName name="Fill3" localSheetId="4">#REF!</definedName>
    <definedName name="Fill3">#REF!</definedName>
    <definedName name="Fill4" localSheetId="15">#REF!</definedName>
    <definedName name="Fill4" localSheetId="13">#REF!</definedName>
    <definedName name="Fill4" localSheetId="10">#REF!</definedName>
    <definedName name="Fill4" localSheetId="14">#REF!</definedName>
    <definedName name="Fill4" localSheetId="8">#REF!</definedName>
    <definedName name="Fill4" localSheetId="9">#REF!</definedName>
    <definedName name="Fill4" localSheetId="12">#REF!</definedName>
    <definedName name="Fill4" localSheetId="6">#REF!</definedName>
    <definedName name="Fill4" localSheetId="4">#REF!</definedName>
    <definedName name="Fill4">#REF!</definedName>
    <definedName name="Fill5" localSheetId="15">#REF!</definedName>
    <definedName name="Fill5" localSheetId="13">#REF!</definedName>
    <definedName name="Fill5" localSheetId="10">#REF!</definedName>
    <definedName name="Fill5" localSheetId="14">#REF!</definedName>
    <definedName name="Fill5" localSheetId="8">#REF!</definedName>
    <definedName name="Fill5" localSheetId="9">#REF!</definedName>
    <definedName name="Fill5" localSheetId="12">#REF!</definedName>
    <definedName name="Fill5" localSheetId="6">#REF!</definedName>
    <definedName name="Fill5" localSheetId="4">#REF!</definedName>
    <definedName name="Fill5">#REF!</definedName>
    <definedName name="Fill6" localSheetId="15">#REF!</definedName>
    <definedName name="Fill6" localSheetId="13">#REF!</definedName>
    <definedName name="Fill6" localSheetId="10">#REF!</definedName>
    <definedName name="Fill6" localSheetId="14">#REF!</definedName>
    <definedName name="Fill6" localSheetId="8">#REF!</definedName>
    <definedName name="Fill6" localSheetId="9">#REF!</definedName>
    <definedName name="Fill6" localSheetId="12">#REF!</definedName>
    <definedName name="Fill6" localSheetId="6">#REF!</definedName>
    <definedName name="Fill6" localSheetId="4">#REF!</definedName>
    <definedName name="Fill6">#REF!</definedName>
    <definedName name="Fill7" localSheetId="15">#REF!</definedName>
    <definedName name="Fill7" localSheetId="13">#REF!</definedName>
    <definedName name="Fill7" localSheetId="10">#REF!</definedName>
    <definedName name="Fill7" localSheetId="14">#REF!</definedName>
    <definedName name="Fill7" localSheetId="8">#REF!</definedName>
    <definedName name="Fill7" localSheetId="9">#REF!</definedName>
    <definedName name="Fill7" localSheetId="12">#REF!</definedName>
    <definedName name="Fill7" localSheetId="6">#REF!</definedName>
    <definedName name="Fill7" localSheetId="4">#REF!</definedName>
    <definedName name="Fill7">#REF!</definedName>
    <definedName name="Fill8" localSheetId="15">#REF!</definedName>
    <definedName name="Fill8" localSheetId="13">#REF!</definedName>
    <definedName name="Fill8" localSheetId="10">#REF!</definedName>
    <definedName name="Fill8" localSheetId="14">#REF!</definedName>
    <definedName name="Fill8" localSheetId="8">#REF!</definedName>
    <definedName name="Fill8" localSheetId="9">#REF!</definedName>
    <definedName name="Fill8" localSheetId="12">#REF!</definedName>
    <definedName name="Fill8" localSheetId="6">#REF!</definedName>
    <definedName name="Fill8" localSheetId="4">#REF!</definedName>
    <definedName name="Fill8">#REF!</definedName>
    <definedName name="Fill9" localSheetId="15">#REF!</definedName>
    <definedName name="Fill9" localSheetId="13">#REF!</definedName>
    <definedName name="Fill9" localSheetId="10">#REF!</definedName>
    <definedName name="Fill9" localSheetId="14">#REF!</definedName>
    <definedName name="Fill9" localSheetId="8">#REF!</definedName>
    <definedName name="Fill9" localSheetId="9">#REF!</definedName>
    <definedName name="Fill9" localSheetId="12">#REF!</definedName>
    <definedName name="Fill9" localSheetId="6">#REF!</definedName>
    <definedName name="Fill9" localSheetId="4">#REF!</definedName>
    <definedName name="Fill9">#REF!</definedName>
    <definedName name="Grade_Span" localSheetId="15">#REF!</definedName>
    <definedName name="Grade_Span" localSheetId="13">#REF!</definedName>
    <definedName name="Grade_Span" localSheetId="10">#REF!</definedName>
    <definedName name="Grade_Span" localSheetId="14">#REF!</definedName>
    <definedName name="Grade_Span" localSheetId="8">#REF!</definedName>
    <definedName name="Grade_Span" localSheetId="9">#REF!</definedName>
    <definedName name="Grade_Span" localSheetId="12">#REF!</definedName>
    <definedName name="Grade_Span" localSheetId="6">#REF!</definedName>
    <definedName name="Grade_Span" localSheetId="4">#REF!</definedName>
    <definedName name="Grade_Span">#REF!</definedName>
    <definedName name="Hill_City_51_2" localSheetId="15">[1]Districts!#REF!</definedName>
    <definedName name="Hill_City_51_2" localSheetId="13">[1]Districts!#REF!</definedName>
    <definedName name="Hill_City_51_2" localSheetId="14">[1]Districts!#REF!</definedName>
    <definedName name="Hill_City_51_2" localSheetId="12">[1]Districts!#REF!</definedName>
    <definedName name="Hill_City_51_2" localSheetId="6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15">[2]Districts!#REF!</definedName>
    <definedName name="Jefferson_61_6" localSheetId="13">[2]Districts!#REF!</definedName>
    <definedName name="Jefferson_61_6" localSheetId="14">[2]Districts!#REF!</definedName>
    <definedName name="Jefferson_61_6" localSheetId="12">[2]Districts!#REF!</definedName>
    <definedName name="Jefferson_61_6">[2]Districts!#REF!</definedName>
    <definedName name="jolene" hidden="1">[3]LEVIES97!$A$6:$AA$182</definedName>
    <definedName name="K_Enrollment" localSheetId="15">#REF!</definedName>
    <definedName name="K_Enrollment" localSheetId="13">#REF!</definedName>
    <definedName name="K_Enrollment" localSheetId="10">#REF!</definedName>
    <definedName name="K_Enrollment" localSheetId="14">#REF!</definedName>
    <definedName name="K_Enrollment" localSheetId="8">#REF!</definedName>
    <definedName name="K_Enrollment" localSheetId="9">#REF!</definedName>
    <definedName name="K_Enrollment" localSheetId="12">#REF!</definedName>
    <definedName name="K_Enrollment" localSheetId="6">#REF!</definedName>
    <definedName name="K_Enrollment" localSheetId="4">#REF!</definedName>
    <definedName name="K_Enrollment">#REF!</definedName>
    <definedName name="Less_Than_5_Year_Exp" localSheetId="15">#REF!</definedName>
    <definedName name="Less_Than_5_Year_Exp" localSheetId="13">#REF!</definedName>
    <definedName name="Less_Than_5_Year_Exp" localSheetId="10">#REF!</definedName>
    <definedName name="Less_Than_5_Year_Exp" localSheetId="14">#REF!</definedName>
    <definedName name="Less_Than_5_Year_Exp" localSheetId="8">#REF!</definedName>
    <definedName name="Less_Than_5_Year_Exp" localSheetId="9">#REF!</definedName>
    <definedName name="Less_Than_5_Year_Exp" localSheetId="12">#REF!</definedName>
    <definedName name="Less_Than_5_Year_Exp" localSheetId="6">#REF!</definedName>
    <definedName name="Less_Than_5_Year_Exp" localSheetId="4">#REF!</definedName>
    <definedName name="Less_Than_5_Year_Exp">#REF!</definedName>
    <definedName name="Librarian_FTE" localSheetId="15">#REF!</definedName>
    <definedName name="Librarian_FTE" localSheetId="13">#REF!</definedName>
    <definedName name="Librarian_FTE" localSheetId="10">#REF!</definedName>
    <definedName name="Librarian_FTE" localSheetId="14">#REF!</definedName>
    <definedName name="Librarian_FTE" localSheetId="8">#REF!</definedName>
    <definedName name="Librarian_FTE" localSheetId="9">#REF!</definedName>
    <definedName name="Librarian_FTE" localSheetId="12">#REF!</definedName>
    <definedName name="Librarian_FTE" localSheetId="6">#REF!</definedName>
    <definedName name="Librarian_FTE" localSheetId="4">#REF!</definedName>
    <definedName name="Librarian_FTE">#REF!</definedName>
    <definedName name="Librarian_Ratio" localSheetId="15">#REF!</definedName>
    <definedName name="Librarian_Ratio" localSheetId="13">#REF!</definedName>
    <definedName name="Librarian_Ratio" localSheetId="10">#REF!</definedName>
    <definedName name="Librarian_Ratio" localSheetId="14">#REF!</definedName>
    <definedName name="Librarian_Ratio" localSheetId="8">#REF!</definedName>
    <definedName name="Librarian_Ratio" localSheetId="9">#REF!</definedName>
    <definedName name="Librarian_Ratio" localSheetId="12">#REF!</definedName>
    <definedName name="Librarian_Ratio" localSheetId="6">#REF!</definedName>
    <definedName name="Librarian_Ratio" localSheetId="4">#REF!</definedName>
    <definedName name="Librarian_Ratio">#REF!</definedName>
    <definedName name="Local_Gen_Fund_Revenue" localSheetId="15">#REF!</definedName>
    <definedName name="Local_Gen_Fund_Revenue" localSheetId="13">#REF!</definedName>
    <definedName name="Local_Gen_Fund_Revenue" localSheetId="10">#REF!</definedName>
    <definedName name="Local_Gen_Fund_Revenue" localSheetId="14">#REF!</definedName>
    <definedName name="Local_Gen_Fund_Revenue" localSheetId="8">#REF!</definedName>
    <definedName name="Local_Gen_Fund_Revenue" localSheetId="9">#REF!</definedName>
    <definedName name="Local_Gen_Fund_Revenue" localSheetId="12">#REF!</definedName>
    <definedName name="Local_Gen_Fund_Revenue" localSheetId="6">#REF!</definedName>
    <definedName name="Local_Gen_Fund_Revenue" localSheetId="4">#REF!</definedName>
    <definedName name="Local_Gen_Fund_Revenue">#REF!</definedName>
    <definedName name="Local_Spec_Fund_Revenue" localSheetId="15">#REF!</definedName>
    <definedName name="Local_Spec_Fund_Revenue" localSheetId="13">#REF!</definedName>
    <definedName name="Local_Spec_Fund_Revenue" localSheetId="10">#REF!</definedName>
    <definedName name="Local_Spec_Fund_Revenue" localSheetId="14">#REF!</definedName>
    <definedName name="Local_Spec_Fund_Revenue" localSheetId="8">#REF!</definedName>
    <definedName name="Local_Spec_Fund_Revenue" localSheetId="9">#REF!</definedName>
    <definedName name="Local_Spec_Fund_Revenue" localSheetId="12">#REF!</definedName>
    <definedName name="Local_Spec_Fund_Revenue" localSheetId="6">#REF!</definedName>
    <definedName name="Local_Spec_Fund_Revenue" localSheetId="4">#REF!</definedName>
    <definedName name="Local_Spec_Fund_Revenue">#REF!</definedName>
    <definedName name="Lost_Enrollment" localSheetId="15">#REF!</definedName>
    <definedName name="Lost_Enrollment" localSheetId="13">#REF!</definedName>
    <definedName name="Lost_Enrollment" localSheetId="10">#REF!</definedName>
    <definedName name="Lost_Enrollment" localSheetId="14">#REF!</definedName>
    <definedName name="Lost_Enrollment" localSheetId="8">#REF!</definedName>
    <definedName name="Lost_Enrollment" localSheetId="9">#REF!</definedName>
    <definedName name="Lost_Enrollment" localSheetId="12">#REF!</definedName>
    <definedName name="Lost_Enrollment" localSheetId="6">#REF!</definedName>
    <definedName name="Lost_Enrollment" localSheetId="4">#REF!</definedName>
    <definedName name="Lost_Enrollment">#REF!</definedName>
    <definedName name="Max_Masters_Salary" localSheetId="15">#REF!</definedName>
    <definedName name="Max_Masters_Salary" localSheetId="13">#REF!</definedName>
    <definedName name="Max_Masters_Salary" localSheetId="10">#REF!</definedName>
    <definedName name="Max_Masters_Salary" localSheetId="14">#REF!</definedName>
    <definedName name="Max_Masters_Salary" localSheetId="8">#REF!</definedName>
    <definedName name="Max_Masters_Salary" localSheetId="9">#REF!</definedName>
    <definedName name="Max_Masters_Salary" localSheetId="12">#REF!</definedName>
    <definedName name="Max_Masters_Salary" localSheetId="6">#REF!</definedName>
    <definedName name="Max_Masters_Salary" localSheetId="4">#REF!</definedName>
    <definedName name="Max_Masters_Salary">#REF!</definedName>
    <definedName name="Minimum_Bach_Salary" localSheetId="15">#REF!</definedName>
    <definedName name="Minimum_Bach_Salary" localSheetId="13">#REF!</definedName>
    <definedName name="Minimum_Bach_Salary" localSheetId="10">#REF!</definedName>
    <definedName name="Minimum_Bach_Salary" localSheetId="14">#REF!</definedName>
    <definedName name="Minimum_Bach_Salary" localSheetId="8">#REF!</definedName>
    <definedName name="Minimum_Bach_Salary" localSheetId="9">#REF!</definedName>
    <definedName name="Minimum_Bach_Salary" localSheetId="12">#REF!</definedName>
    <definedName name="Minimum_Bach_Salary" localSheetId="6">#REF!</definedName>
    <definedName name="Minimum_Bach_Salary" localSheetId="4">#REF!</definedName>
    <definedName name="Minimum_Bach_Salary">#REF!</definedName>
    <definedName name="New_Enrollment" localSheetId="15">#REF!</definedName>
    <definedName name="New_Enrollment" localSheetId="13">#REF!</definedName>
    <definedName name="New_Enrollment" localSheetId="10">#REF!</definedName>
    <definedName name="New_Enrollment" localSheetId="14">#REF!</definedName>
    <definedName name="New_Enrollment" localSheetId="8">#REF!</definedName>
    <definedName name="New_Enrollment" localSheetId="9">#REF!</definedName>
    <definedName name="New_Enrollment" localSheetId="12">#REF!</definedName>
    <definedName name="New_Enrollment" localSheetId="6">#REF!</definedName>
    <definedName name="New_Enrollment" localSheetId="4">#REF!</definedName>
    <definedName name="New_Enrollment">#REF!</definedName>
    <definedName name="No_Of_Advanced_Degree" localSheetId="15">#REF!</definedName>
    <definedName name="No_Of_Advanced_Degree" localSheetId="13">#REF!</definedName>
    <definedName name="No_Of_Advanced_Degree" localSheetId="10">#REF!</definedName>
    <definedName name="No_Of_Advanced_Degree" localSheetId="14">#REF!</definedName>
    <definedName name="No_Of_Advanced_Degree" localSheetId="8">#REF!</definedName>
    <definedName name="No_Of_Advanced_Degree" localSheetId="9">#REF!</definedName>
    <definedName name="No_Of_Advanced_Degree" localSheetId="12">#REF!</definedName>
    <definedName name="No_Of_Advanced_Degree" localSheetId="6">#REF!</definedName>
    <definedName name="No_Of_Advanced_Degree" localSheetId="4">#REF!</definedName>
    <definedName name="No_Of_Advanced_Degree">#REF!</definedName>
    <definedName name="Num_Dropouts_10" localSheetId="15">#REF!</definedName>
    <definedName name="Num_Dropouts_10" localSheetId="13">#REF!</definedName>
    <definedName name="Num_Dropouts_10" localSheetId="10">#REF!</definedName>
    <definedName name="Num_Dropouts_10" localSheetId="14">#REF!</definedName>
    <definedName name="Num_Dropouts_10" localSheetId="8">#REF!</definedName>
    <definedName name="Num_Dropouts_10" localSheetId="9">#REF!</definedName>
    <definedName name="Num_Dropouts_10" localSheetId="12">#REF!</definedName>
    <definedName name="Num_Dropouts_10" localSheetId="6">#REF!</definedName>
    <definedName name="Num_Dropouts_10" localSheetId="4">#REF!</definedName>
    <definedName name="Num_Dropouts_10">#REF!</definedName>
    <definedName name="Num_Dropouts_11" localSheetId="15">#REF!</definedName>
    <definedName name="Num_Dropouts_11" localSheetId="13">#REF!</definedName>
    <definedName name="Num_Dropouts_11" localSheetId="10">#REF!</definedName>
    <definedName name="Num_Dropouts_11" localSheetId="14">#REF!</definedName>
    <definedName name="Num_Dropouts_11" localSheetId="8">#REF!</definedName>
    <definedName name="Num_Dropouts_11" localSheetId="9">#REF!</definedName>
    <definedName name="Num_Dropouts_11" localSheetId="12">#REF!</definedName>
    <definedName name="Num_Dropouts_11" localSheetId="6">#REF!</definedName>
    <definedName name="Num_Dropouts_11" localSheetId="4">#REF!</definedName>
    <definedName name="Num_Dropouts_11">#REF!</definedName>
    <definedName name="Num_Dropouts_12" localSheetId="15">#REF!</definedName>
    <definedName name="Num_Dropouts_12" localSheetId="13">#REF!</definedName>
    <definedName name="Num_Dropouts_12" localSheetId="10">#REF!</definedName>
    <definedName name="Num_Dropouts_12" localSheetId="14">#REF!</definedName>
    <definedName name="Num_Dropouts_12" localSheetId="8">#REF!</definedName>
    <definedName name="Num_Dropouts_12" localSheetId="9">#REF!</definedName>
    <definedName name="Num_Dropouts_12" localSheetId="12">#REF!</definedName>
    <definedName name="Num_Dropouts_12" localSheetId="6">#REF!</definedName>
    <definedName name="Num_Dropouts_12" localSheetId="4">#REF!</definedName>
    <definedName name="Num_Dropouts_12">#REF!</definedName>
    <definedName name="Num_Dropouts_7" localSheetId="15">#REF!</definedName>
    <definedName name="Num_Dropouts_7" localSheetId="13">#REF!</definedName>
    <definedName name="Num_Dropouts_7" localSheetId="10">#REF!</definedName>
    <definedName name="Num_Dropouts_7" localSheetId="14">#REF!</definedName>
    <definedName name="Num_Dropouts_7" localSheetId="8">#REF!</definedName>
    <definedName name="Num_Dropouts_7" localSheetId="9">#REF!</definedName>
    <definedName name="Num_Dropouts_7" localSheetId="12">#REF!</definedName>
    <definedName name="Num_Dropouts_7" localSheetId="6">#REF!</definedName>
    <definedName name="Num_Dropouts_7" localSheetId="4">#REF!</definedName>
    <definedName name="Num_Dropouts_7">#REF!</definedName>
    <definedName name="Num_Dropouts_8" localSheetId="15">#REF!</definedName>
    <definedName name="Num_Dropouts_8" localSheetId="13">#REF!</definedName>
    <definedName name="Num_Dropouts_8" localSheetId="10">#REF!</definedName>
    <definedName name="Num_Dropouts_8" localSheetId="14">#REF!</definedName>
    <definedName name="Num_Dropouts_8" localSheetId="8">#REF!</definedName>
    <definedName name="Num_Dropouts_8" localSheetId="9">#REF!</definedName>
    <definedName name="Num_Dropouts_8" localSheetId="12">#REF!</definedName>
    <definedName name="Num_Dropouts_8" localSheetId="6">#REF!</definedName>
    <definedName name="Num_Dropouts_8" localSheetId="4">#REF!</definedName>
    <definedName name="Num_Dropouts_8">#REF!</definedName>
    <definedName name="Num_Dropouts_9" localSheetId="15">#REF!</definedName>
    <definedName name="Num_Dropouts_9" localSheetId="13">#REF!</definedName>
    <definedName name="Num_Dropouts_9" localSheetId="10">#REF!</definedName>
    <definedName name="Num_Dropouts_9" localSheetId="14">#REF!</definedName>
    <definedName name="Num_Dropouts_9" localSheetId="8">#REF!</definedName>
    <definedName name="Num_Dropouts_9" localSheetId="9">#REF!</definedName>
    <definedName name="Num_Dropouts_9" localSheetId="12">#REF!</definedName>
    <definedName name="Num_Dropouts_9" localSheetId="6">#REF!</definedName>
    <definedName name="Num_Dropouts_9" localSheetId="4">#REF!</definedName>
    <definedName name="Num_Dropouts_9">#REF!</definedName>
    <definedName name="NUMBER_GRADUATES" localSheetId="15">#REF!</definedName>
    <definedName name="NUMBER_GRADUATES" localSheetId="13">#REF!</definedName>
    <definedName name="NUMBER_GRADUATES" localSheetId="10">#REF!</definedName>
    <definedName name="NUMBER_GRADUATES" localSheetId="14">#REF!</definedName>
    <definedName name="NUMBER_GRADUATES" localSheetId="8">#REF!</definedName>
    <definedName name="NUMBER_GRADUATES" localSheetId="9">#REF!</definedName>
    <definedName name="NUMBER_GRADUATES" localSheetId="12">#REF!</definedName>
    <definedName name="NUMBER_GRADUATES" localSheetId="6">#REF!</definedName>
    <definedName name="NUMBER_GRADUATES" localSheetId="4">#REF!</definedName>
    <definedName name="NUMBER_GRADUATES">#REF!</definedName>
    <definedName name="OTIS_LENNON_NUMBER_TESTED" localSheetId="15">#REF!</definedName>
    <definedName name="OTIS_LENNON_NUMBER_TESTED" localSheetId="13">#REF!</definedName>
    <definedName name="OTIS_LENNON_NUMBER_TESTED" localSheetId="10">#REF!</definedName>
    <definedName name="OTIS_LENNON_NUMBER_TESTED" localSheetId="14">#REF!</definedName>
    <definedName name="OTIS_LENNON_NUMBER_TESTED" localSheetId="8">#REF!</definedName>
    <definedName name="OTIS_LENNON_NUMBER_TESTED" localSheetId="9">#REF!</definedName>
    <definedName name="OTIS_LENNON_NUMBER_TESTED" localSheetId="12">#REF!</definedName>
    <definedName name="OTIS_LENNON_NUMBER_TESTED" localSheetId="6">#REF!</definedName>
    <definedName name="OTIS_LENNON_NUMBER_TESTED" localSheetId="4">#REF!</definedName>
    <definedName name="OTIS_LENNON_NUMBER_TESTED">#REF!</definedName>
    <definedName name="OTIS_LENNON_PERCENTILE" localSheetId="15">#REF!</definedName>
    <definedName name="OTIS_LENNON_PERCENTILE" localSheetId="13">#REF!</definedName>
    <definedName name="OTIS_LENNON_PERCENTILE" localSheetId="10">#REF!</definedName>
    <definedName name="OTIS_LENNON_PERCENTILE" localSheetId="14">#REF!</definedName>
    <definedName name="OTIS_LENNON_PERCENTILE" localSheetId="8">#REF!</definedName>
    <definedName name="OTIS_LENNON_PERCENTILE" localSheetId="9">#REF!</definedName>
    <definedName name="OTIS_LENNON_PERCENTILE" localSheetId="12">#REF!</definedName>
    <definedName name="OTIS_LENNON_PERCENTILE" localSheetId="6">#REF!</definedName>
    <definedName name="OTIS_LENNON_PERCENTILE" localSheetId="4">#REF!</definedName>
    <definedName name="OTIS_LENNON_PERCENTILE">#REF!</definedName>
    <definedName name="Overall_Dropout_Rate" localSheetId="15">#REF!</definedName>
    <definedName name="Overall_Dropout_Rate" localSheetId="13">#REF!</definedName>
    <definedName name="Overall_Dropout_Rate" localSheetId="10">#REF!</definedName>
    <definedName name="Overall_Dropout_Rate" localSheetId="14">#REF!</definedName>
    <definedName name="Overall_Dropout_Rate" localSheetId="8">#REF!</definedName>
    <definedName name="Overall_Dropout_Rate" localSheetId="9">#REF!</definedName>
    <definedName name="Overall_Dropout_Rate" localSheetId="12">#REF!</definedName>
    <definedName name="Overall_Dropout_Rate" localSheetId="6">#REF!</definedName>
    <definedName name="Overall_Dropout_Rate" localSheetId="4">#REF!</definedName>
    <definedName name="Overall_Dropout_Rate">#REF!</definedName>
    <definedName name="PartVSec1" localSheetId="15">#REF!</definedName>
    <definedName name="PartVSec1" localSheetId="13">#REF!</definedName>
    <definedName name="PartVSec1" localSheetId="10">#REF!</definedName>
    <definedName name="PartVSec1" localSheetId="14">#REF!</definedName>
    <definedName name="PartVSec1" localSheetId="8">#REF!</definedName>
    <definedName name="PartVSec1" localSheetId="9">#REF!</definedName>
    <definedName name="PartVSec1" localSheetId="12">#REF!</definedName>
    <definedName name="PartVSec1" localSheetId="6">#REF!</definedName>
    <definedName name="PartVSec1" localSheetId="4">#REF!</definedName>
    <definedName name="PartVSec1">#REF!</definedName>
    <definedName name="PartVSec2" localSheetId="15">#REF!</definedName>
    <definedName name="PartVSec2" localSheetId="13">#REF!</definedName>
    <definedName name="PartVSec2" localSheetId="10">#REF!</definedName>
    <definedName name="PartVSec2" localSheetId="14">#REF!</definedName>
    <definedName name="PartVSec2" localSheetId="8">#REF!</definedName>
    <definedName name="PartVSec2" localSheetId="9">#REF!</definedName>
    <definedName name="PartVSec2" localSheetId="12">#REF!</definedName>
    <definedName name="PartVSec2" localSheetId="6">#REF!</definedName>
    <definedName name="PartVSec2" localSheetId="4">#REF!</definedName>
    <definedName name="PartVSec2">#REF!</definedName>
    <definedName name="Perc_Less_Than_5_Year_Exp" localSheetId="15">#REF!</definedName>
    <definedName name="Perc_Less_Than_5_Year_Exp" localSheetId="13">#REF!</definedName>
    <definedName name="Perc_Less_Than_5_Year_Exp" localSheetId="10">#REF!</definedName>
    <definedName name="Perc_Less_Than_5_Year_Exp" localSheetId="14">#REF!</definedName>
    <definedName name="Perc_Less_Than_5_Year_Exp" localSheetId="8">#REF!</definedName>
    <definedName name="Perc_Less_Than_5_Year_Exp" localSheetId="9">#REF!</definedName>
    <definedName name="Perc_Less_Than_5_Year_Exp" localSheetId="12">#REF!</definedName>
    <definedName name="Perc_Less_Than_5_Year_Exp" localSheetId="6">#REF!</definedName>
    <definedName name="Perc_Less_Than_5_Year_Exp" localSheetId="4">#REF!</definedName>
    <definedName name="Perc_Less_Than_5_Year_Exp">#REF!</definedName>
    <definedName name="Percent_Of_Advanced_Degree" localSheetId="15">#REF!</definedName>
    <definedName name="Percent_Of_Advanced_Degree" localSheetId="13">#REF!</definedName>
    <definedName name="Percent_Of_Advanced_Degree" localSheetId="10">#REF!</definedName>
    <definedName name="Percent_Of_Advanced_Degree" localSheetId="14">#REF!</definedName>
    <definedName name="Percent_Of_Advanced_Degree" localSheetId="8">#REF!</definedName>
    <definedName name="Percent_Of_Advanced_Degree" localSheetId="9">#REF!</definedName>
    <definedName name="Percent_Of_Advanced_Degree" localSheetId="12">#REF!</definedName>
    <definedName name="Percent_Of_Advanced_Degree" localSheetId="6">#REF!</definedName>
    <definedName name="Percent_Of_Advanced_Degree" localSheetId="4">#REF!</definedName>
    <definedName name="Percent_Of_Advanced_Degree">#REF!</definedName>
    <definedName name="Principal_FTE" localSheetId="15">#REF!</definedName>
    <definedName name="Principal_FTE" localSheetId="13">#REF!</definedName>
    <definedName name="Principal_FTE" localSheetId="10">#REF!</definedName>
    <definedName name="Principal_FTE" localSheetId="14">#REF!</definedName>
    <definedName name="Principal_FTE" localSheetId="8">#REF!</definedName>
    <definedName name="Principal_FTE" localSheetId="9">#REF!</definedName>
    <definedName name="Principal_FTE" localSheetId="12">#REF!</definedName>
    <definedName name="Principal_FTE" localSheetId="6">#REF!</definedName>
    <definedName name="Principal_FTE" localSheetId="4">#REF!</definedName>
    <definedName name="Principal_FTE">#REF!</definedName>
    <definedName name="Principal_Ratio" localSheetId="15">#REF!</definedName>
    <definedName name="Principal_Ratio" localSheetId="13">#REF!</definedName>
    <definedName name="Principal_Ratio" localSheetId="10">#REF!</definedName>
    <definedName name="Principal_Ratio" localSheetId="14">#REF!</definedName>
    <definedName name="Principal_Ratio" localSheetId="8">#REF!</definedName>
    <definedName name="Principal_Ratio" localSheetId="9">#REF!</definedName>
    <definedName name="Principal_Ratio" localSheetId="12">#REF!</definedName>
    <definedName name="Principal_Ratio" localSheetId="6">#REF!</definedName>
    <definedName name="Principal_Ratio" localSheetId="4">#REF!</definedName>
    <definedName name="Principal_Ratio">#REF!</definedName>
    <definedName name="_xlnm.Print_Area" localSheetId="0">'1. Est. Gen State Aid Calc'!$A$1:$J$54</definedName>
    <definedName name="_xlnm.Print_Area" localSheetId="13">'FY17 State Aid'!$A$1:$L$156</definedName>
    <definedName name="_xlnm.Print_Area" localSheetId="10">'FY18 Need Calc'!$A$1:$O$154</definedName>
    <definedName name="_xlnm.Print_Area" localSheetId="11">'FY18 State Aid'!$A$2:$K$153</definedName>
    <definedName name="_xlnm.Print_Area" localSheetId="8">'FY19 Need Calc'!$B$6:$O$159</definedName>
    <definedName name="_xlnm.Print_Area" localSheetId="9">'FY19 State Aid'!$C$5:$L$157</definedName>
    <definedName name="_xlnm.Print_Area" localSheetId="12">'FY2017 GSA Need Calculation'!$A$2:$O$155</definedName>
    <definedName name="_xlnm.Print_Area" localSheetId="6">'Other Rev Equalization FY20'!$A$1:$I$160</definedName>
    <definedName name="_xlnm.Print_Area" localSheetId="4">'SAFE History'!$C$4:$Q$187</definedName>
    <definedName name="_xlnm.Print_Titles" localSheetId="13">'FY17 State Aid'!$A:$B,'FY17 State Aid'!$1:$1</definedName>
    <definedName name="_xlnm.Print_Titles" localSheetId="10">'FY18 Need Calc'!$1:$2</definedName>
    <definedName name="_xlnm.Print_Titles" localSheetId="11">'FY18 State Aid'!$A:$B,'FY18 State Aid'!$1:$1</definedName>
    <definedName name="_xlnm.Print_Titles" localSheetId="8">'FY19 Need Calc'!$1:$5</definedName>
    <definedName name="_xlnm.Print_Titles" localSheetId="9">'FY19 State Aid'!$A:$C,'FY19 State Aid'!$1:$4</definedName>
    <definedName name="_xlnm.Print_Titles" localSheetId="12">'FY2017 GSA Need Calculation'!$A:$B,'FY2017 GSA Need Calculation'!$2:$2</definedName>
    <definedName name="_xlnm.Print_Titles" localSheetId="6">'Other Rev Equalization FY20'!$1:$3</definedName>
    <definedName name="_xlnm.Print_Titles" localSheetId="4">'SAFE History'!$1:$3</definedName>
    <definedName name="QRY___Dist_by_Disability__3_21_" localSheetId="15">#REF!</definedName>
    <definedName name="QRY___Dist_by_Disability__3_21_" localSheetId="13">#REF!</definedName>
    <definedName name="QRY___Dist_by_Disability__3_21_" localSheetId="10">#REF!</definedName>
    <definedName name="QRY___Dist_by_Disability__3_21_" localSheetId="14">#REF!</definedName>
    <definedName name="QRY___Dist_by_Disability__3_21_" localSheetId="8">#REF!</definedName>
    <definedName name="QRY___Dist_by_Disability__3_21_" localSheetId="9">#REF!</definedName>
    <definedName name="QRY___Dist_by_Disability__3_21_" localSheetId="12">#REF!</definedName>
    <definedName name="QRY___Dist_by_Disability__3_21_" localSheetId="6">#REF!</definedName>
    <definedName name="QRY___Dist_by_Disability__3_21_" localSheetId="4">#REF!</definedName>
    <definedName name="QRY___Dist_by_Disability__3_21_">#REF!</definedName>
    <definedName name="Qry_District_by_Disability" localSheetId="15">#REF!</definedName>
    <definedName name="Qry_District_by_Disability" localSheetId="13">#REF!</definedName>
    <definedName name="Qry_District_by_Disability" localSheetId="10">#REF!</definedName>
    <definedName name="Qry_District_by_Disability" localSheetId="14">#REF!</definedName>
    <definedName name="Qry_District_by_Disability" localSheetId="8">#REF!</definedName>
    <definedName name="Qry_District_by_Disability" localSheetId="9">#REF!</definedName>
    <definedName name="Qry_District_by_Disability" localSheetId="12">#REF!</definedName>
    <definedName name="Qry_District_by_Disability" localSheetId="6">#REF!</definedName>
    <definedName name="Qry_District_by_Disability" localSheetId="4">#REF!</definedName>
    <definedName name="Qry_District_by_Disability">#REF!</definedName>
    <definedName name="QRY1_12ADMFinal_Out" localSheetId="15">#REF!</definedName>
    <definedName name="QRY1_12ADMFinal_Out" localSheetId="13">#REF!</definedName>
    <definedName name="QRY1_12ADMFinal_Out" localSheetId="10">#REF!</definedName>
    <definedName name="QRY1_12ADMFinal_Out" localSheetId="14">#REF!</definedName>
    <definedName name="QRY1_12ADMFinal_Out" localSheetId="8">#REF!</definedName>
    <definedName name="QRY1_12ADMFinal_Out" localSheetId="9">#REF!</definedName>
    <definedName name="QRY1_12ADMFinal_Out" localSheetId="12">#REF!</definedName>
    <definedName name="QRY1_12ADMFinal_Out" localSheetId="6">#REF!</definedName>
    <definedName name="QRY1_12ADMFinal_Out" localSheetId="4">#REF!</definedName>
    <definedName name="QRY1_12ADMFinal_Out">#REF!</definedName>
    <definedName name="QryADM1_12Add" localSheetId="15">#REF!</definedName>
    <definedName name="QryADM1_12Add" localSheetId="13">#REF!</definedName>
    <definedName name="QryADM1_12Add" localSheetId="10">#REF!</definedName>
    <definedName name="QryADM1_12Add" localSheetId="14">#REF!</definedName>
    <definedName name="QryADM1_12Add" localSheetId="8">#REF!</definedName>
    <definedName name="QryADM1_12Add" localSheetId="9">#REF!</definedName>
    <definedName name="QryADM1_12Add" localSheetId="12">#REF!</definedName>
    <definedName name="QryADM1_12Add" localSheetId="6">#REF!</definedName>
    <definedName name="QryADM1_12Add" localSheetId="4">#REF!</definedName>
    <definedName name="QryADM1_12Add">#REF!</definedName>
    <definedName name="QryADM1_12Subtract" localSheetId="15">#REF!</definedName>
    <definedName name="QryADM1_12Subtract" localSheetId="13">#REF!</definedName>
    <definedName name="QryADM1_12Subtract" localSheetId="10">#REF!</definedName>
    <definedName name="QryADM1_12Subtract" localSheetId="14">#REF!</definedName>
    <definedName name="QryADM1_12Subtract" localSheetId="8">#REF!</definedName>
    <definedName name="QryADM1_12Subtract" localSheetId="9">#REF!</definedName>
    <definedName name="QryADM1_12Subtract" localSheetId="12">#REF!</definedName>
    <definedName name="QryADM1_12Subtract" localSheetId="6">#REF!</definedName>
    <definedName name="QryADM1_12Subtract" localSheetId="4">#REF!</definedName>
    <definedName name="QryADM1_12Subtract">#REF!</definedName>
    <definedName name="QryADMKgAdd" localSheetId="15">#REF!</definedName>
    <definedName name="QryADMKgAdd" localSheetId="13">#REF!</definedName>
    <definedName name="QryADMKgAdd" localSheetId="10">#REF!</definedName>
    <definedName name="QryADMKgAdd" localSheetId="14">#REF!</definedName>
    <definedName name="QryADMKgAdd" localSheetId="8">#REF!</definedName>
    <definedName name="QryADMKgAdd" localSheetId="9">#REF!</definedName>
    <definedName name="QryADMKgAdd" localSheetId="12">#REF!</definedName>
    <definedName name="QryADMKgAdd" localSheetId="6">#REF!</definedName>
    <definedName name="QryADMKgAdd" localSheetId="4">#REF!</definedName>
    <definedName name="QryADMKgAdd">#REF!</definedName>
    <definedName name="QryADMKgSubtract" localSheetId="15">#REF!</definedName>
    <definedName name="QryADMKgSubtract" localSheetId="13">#REF!</definedName>
    <definedName name="QryADMKgSubtract" localSheetId="10">#REF!</definedName>
    <definedName name="QryADMKgSubtract" localSheetId="14">#REF!</definedName>
    <definedName name="QryADMKgSubtract" localSheetId="8">#REF!</definedName>
    <definedName name="QryADMKgSubtract" localSheetId="9">#REF!</definedName>
    <definedName name="QryADMKgSubtract" localSheetId="12">#REF!</definedName>
    <definedName name="QryADMKgSubtract" localSheetId="6">#REF!</definedName>
    <definedName name="QryADMKgSubtract" localSheetId="4">#REF!</definedName>
    <definedName name="QryADMKgSubtract">#REF!</definedName>
    <definedName name="QryKGADMFinal_out" localSheetId="15">#REF!</definedName>
    <definedName name="QryKGADMFinal_out" localSheetId="13">#REF!</definedName>
    <definedName name="QryKGADMFinal_out" localSheetId="10">#REF!</definedName>
    <definedName name="QryKGADMFinal_out" localSheetId="14">#REF!</definedName>
    <definedName name="QryKGADMFinal_out" localSheetId="8">#REF!</definedName>
    <definedName name="QryKGADMFinal_out" localSheetId="9">#REF!</definedName>
    <definedName name="QryKGADMFinal_out" localSheetId="12">#REF!</definedName>
    <definedName name="QryKGADMFinal_out" localSheetId="6">#REF!</definedName>
    <definedName name="QryKGADMFinal_out" localSheetId="4">#REF!</definedName>
    <definedName name="QryKGADMFinal_out">#REF!</definedName>
    <definedName name="Retained_Student_Ratio" localSheetId="15">#REF!</definedName>
    <definedName name="Retained_Student_Ratio" localSheetId="13">#REF!</definedName>
    <definedName name="Retained_Student_Ratio" localSheetId="10">#REF!</definedName>
    <definedName name="Retained_Student_Ratio" localSheetId="14">#REF!</definedName>
    <definedName name="Retained_Student_Ratio" localSheetId="8">#REF!</definedName>
    <definedName name="Retained_Student_Ratio" localSheetId="9">#REF!</definedName>
    <definedName name="Retained_Student_Ratio" localSheetId="12">#REF!</definedName>
    <definedName name="Retained_Student_Ratio" localSheetId="6">#REF!</definedName>
    <definedName name="Retained_Student_Ratio" localSheetId="4">#REF!</definedName>
    <definedName name="Retained_Student_Ratio">#REF!</definedName>
    <definedName name="Retained_Students" localSheetId="15">#REF!</definedName>
    <definedName name="Retained_Students" localSheetId="13">#REF!</definedName>
    <definedName name="Retained_Students" localSheetId="10">#REF!</definedName>
    <definedName name="Retained_Students" localSheetId="14">#REF!</definedName>
    <definedName name="Retained_Students" localSheetId="8">#REF!</definedName>
    <definedName name="Retained_Students" localSheetId="9">#REF!</definedName>
    <definedName name="Retained_Students" localSheetId="12">#REF!</definedName>
    <definedName name="Retained_Students" localSheetId="6">#REF!</definedName>
    <definedName name="Retained_Students" localSheetId="4">#REF!</definedName>
    <definedName name="Retained_Students">#REF!</definedName>
    <definedName name="School">#REF!</definedName>
    <definedName name="school_area" localSheetId="15">#REF!</definedName>
    <definedName name="school_area" localSheetId="13">#REF!</definedName>
    <definedName name="school_area" localSheetId="10">#REF!</definedName>
    <definedName name="school_area" localSheetId="14">#REF!</definedName>
    <definedName name="school_area" localSheetId="8">#REF!</definedName>
    <definedName name="school_area" localSheetId="9">#REF!</definedName>
    <definedName name="school_area" localSheetId="12">#REF!</definedName>
    <definedName name="school_area" localSheetId="6">#REF!</definedName>
    <definedName name="school_area" localSheetId="4">#REF!</definedName>
    <definedName name="school_area">#REF!</definedName>
    <definedName name="School_Attendance_Rate" localSheetId="15">#REF!</definedName>
    <definedName name="School_Attendance_Rate" localSheetId="13">#REF!</definedName>
    <definedName name="School_Attendance_Rate" localSheetId="10">#REF!</definedName>
    <definedName name="School_Attendance_Rate" localSheetId="14">#REF!</definedName>
    <definedName name="School_Attendance_Rate" localSheetId="8">#REF!</definedName>
    <definedName name="School_Attendance_Rate" localSheetId="9">#REF!</definedName>
    <definedName name="School_Attendance_Rate" localSheetId="12">#REF!</definedName>
    <definedName name="School_Attendance_Rate" localSheetId="6">#REF!</definedName>
    <definedName name="School_Attendance_Rate" localSheetId="4">#REF!</definedName>
    <definedName name="School_Attendance_Rate">#REF!</definedName>
    <definedName name="School_Code" localSheetId="15">#REF!</definedName>
    <definedName name="School_Code" localSheetId="13">#REF!</definedName>
    <definedName name="School_Code" localSheetId="10">#REF!</definedName>
    <definedName name="School_Code" localSheetId="14">#REF!</definedName>
    <definedName name="School_Code" localSheetId="8">#REF!</definedName>
    <definedName name="School_Code" localSheetId="9">#REF!</definedName>
    <definedName name="School_Code" localSheetId="12">#REF!</definedName>
    <definedName name="School_Code" localSheetId="6">#REF!</definedName>
    <definedName name="School_Code" localSheetId="4">#REF!</definedName>
    <definedName name="School_Code">#REF!</definedName>
    <definedName name="SCHOOL_NAME" localSheetId="15">#REF!</definedName>
    <definedName name="SCHOOL_NAME" localSheetId="13">#REF!</definedName>
    <definedName name="SCHOOL_NAME" localSheetId="10">#REF!</definedName>
    <definedName name="SCHOOL_NAME" localSheetId="14">#REF!</definedName>
    <definedName name="SCHOOL_NAME" localSheetId="8">#REF!</definedName>
    <definedName name="SCHOOL_NAME" localSheetId="9">#REF!</definedName>
    <definedName name="SCHOOL_NAME" localSheetId="12">#REF!</definedName>
    <definedName name="SCHOOL_NAME" localSheetId="6">#REF!</definedName>
    <definedName name="SCHOOL_NAME" localSheetId="4">#REF!</definedName>
    <definedName name="SCHOOL_NAME">#REF!</definedName>
    <definedName name="School_Phone_Num" localSheetId="15">#REF!</definedName>
    <definedName name="School_Phone_Num" localSheetId="13">#REF!</definedName>
    <definedName name="School_Phone_Num" localSheetId="10">#REF!</definedName>
    <definedName name="School_Phone_Num" localSheetId="14">#REF!</definedName>
    <definedName name="School_Phone_Num" localSheetId="8">#REF!</definedName>
    <definedName name="School_Phone_Num" localSheetId="9">#REF!</definedName>
    <definedName name="School_Phone_Num" localSheetId="12">#REF!</definedName>
    <definedName name="School_Phone_Num" localSheetId="6">#REF!</definedName>
    <definedName name="School_Phone_Num" localSheetId="4">#REF!</definedName>
    <definedName name="School_Phone_Num">#REF!</definedName>
    <definedName name="School_Principal" localSheetId="15">#REF!</definedName>
    <definedName name="School_Principal" localSheetId="13">#REF!</definedName>
    <definedName name="School_Principal" localSheetId="10">#REF!</definedName>
    <definedName name="School_Principal" localSheetId="14">#REF!</definedName>
    <definedName name="School_Principal" localSheetId="8">#REF!</definedName>
    <definedName name="School_Principal" localSheetId="9">#REF!</definedName>
    <definedName name="School_Principal" localSheetId="12">#REF!</definedName>
    <definedName name="School_Principal" localSheetId="6">#REF!</definedName>
    <definedName name="School_Principal" localSheetId="4">#REF!</definedName>
    <definedName name="School_Principal">#REF!</definedName>
    <definedName name="School_Principal_Num" localSheetId="15">#REF!</definedName>
    <definedName name="School_Principal_Num" localSheetId="13">#REF!</definedName>
    <definedName name="School_Principal_Num" localSheetId="10">#REF!</definedName>
    <definedName name="School_Principal_Num" localSheetId="14">#REF!</definedName>
    <definedName name="School_Principal_Num" localSheetId="8">#REF!</definedName>
    <definedName name="School_Principal_Num" localSheetId="9">#REF!</definedName>
    <definedName name="School_Principal_Num" localSheetId="12">#REF!</definedName>
    <definedName name="School_Principal_Num" localSheetId="6">#REF!</definedName>
    <definedName name="School_Principal_Num" localSheetId="4">#REF!</definedName>
    <definedName name="School_Principal_Num">#REF!</definedName>
    <definedName name="School_Type" localSheetId="15">#REF!</definedName>
    <definedName name="School_Type" localSheetId="13">#REF!</definedName>
    <definedName name="School_Type" localSheetId="10">#REF!</definedName>
    <definedName name="School_Type" localSheetId="14">#REF!</definedName>
    <definedName name="School_Type" localSheetId="8">#REF!</definedName>
    <definedName name="School_Type" localSheetId="9">#REF!</definedName>
    <definedName name="School_Type" localSheetId="12">#REF!</definedName>
    <definedName name="School_Type" localSheetId="6">#REF!</definedName>
    <definedName name="School_Type" localSheetId="4">#REF!</definedName>
    <definedName name="School_Type">#REF!</definedName>
    <definedName name="STANFORD_METROPOLITAN_PERCENTILE" localSheetId="15">#REF!</definedName>
    <definedName name="STANFORD_METROPOLITAN_PERCENTILE" localSheetId="13">#REF!</definedName>
    <definedName name="STANFORD_METROPOLITAN_PERCENTILE" localSheetId="10">#REF!</definedName>
    <definedName name="STANFORD_METROPOLITAN_PERCENTILE" localSheetId="14">#REF!</definedName>
    <definedName name="STANFORD_METROPOLITAN_PERCENTILE" localSheetId="8">#REF!</definedName>
    <definedName name="STANFORD_METROPOLITAN_PERCENTILE" localSheetId="9">#REF!</definedName>
    <definedName name="STANFORD_METROPOLITAN_PERCENTILE" localSheetId="12">#REF!</definedName>
    <definedName name="STANFORD_METROPOLITAN_PERCENTILE" localSheetId="6">#REF!</definedName>
    <definedName name="STANFORD_METROPOLITAN_PERCENTILE" localSheetId="4">#REF!</definedName>
    <definedName name="STANFORD_METROPOLITAN_PERCENTILE">#REF!</definedName>
    <definedName name="State_Gen_Fund_Revenue" localSheetId="15">#REF!</definedName>
    <definedName name="State_Gen_Fund_Revenue" localSheetId="13">#REF!</definedName>
    <definedName name="State_Gen_Fund_Revenue" localSheetId="10">#REF!</definedName>
    <definedName name="State_Gen_Fund_Revenue" localSheetId="14">#REF!</definedName>
    <definedName name="State_Gen_Fund_Revenue" localSheetId="8">#REF!</definedName>
    <definedName name="State_Gen_Fund_Revenue" localSheetId="9">#REF!</definedName>
    <definedName name="State_Gen_Fund_Revenue" localSheetId="12">#REF!</definedName>
    <definedName name="State_Gen_Fund_Revenue" localSheetId="6">#REF!</definedName>
    <definedName name="State_Gen_Fund_Revenue" localSheetId="4">#REF!</definedName>
    <definedName name="State_Gen_Fund_Revenue">#REF!</definedName>
    <definedName name="State_Spec_Fund_Revenue" localSheetId="15">#REF!</definedName>
    <definedName name="State_Spec_Fund_Revenue" localSheetId="13">#REF!</definedName>
    <definedName name="State_Spec_Fund_Revenue" localSheetId="10">#REF!</definedName>
    <definedName name="State_Spec_Fund_Revenue" localSheetId="14">#REF!</definedName>
    <definedName name="State_Spec_Fund_Revenue" localSheetId="8">#REF!</definedName>
    <definedName name="State_Spec_Fund_Revenue" localSheetId="9">#REF!</definedName>
    <definedName name="State_Spec_Fund_Revenue" localSheetId="12">#REF!</definedName>
    <definedName name="State_Spec_Fund_Revenue" localSheetId="6">#REF!</definedName>
    <definedName name="State_Spec_Fund_Revenue" localSheetId="4">#REF!</definedName>
    <definedName name="State_Spec_Fund_Revenue">#REF!</definedName>
    <definedName name="STUDENT_TO_STAFF_RATIO" localSheetId="15">#REF!</definedName>
    <definedName name="STUDENT_TO_STAFF_RATIO" localSheetId="13">#REF!</definedName>
    <definedName name="STUDENT_TO_STAFF_RATIO" localSheetId="10">#REF!</definedName>
    <definedName name="STUDENT_TO_STAFF_RATIO" localSheetId="14">#REF!</definedName>
    <definedName name="STUDENT_TO_STAFF_RATIO" localSheetId="8">#REF!</definedName>
    <definedName name="STUDENT_TO_STAFF_RATIO" localSheetId="9">#REF!</definedName>
    <definedName name="STUDENT_TO_STAFF_RATIO" localSheetId="12">#REF!</definedName>
    <definedName name="STUDENT_TO_STAFF_RATIO" localSheetId="6">#REF!</definedName>
    <definedName name="STUDENT_TO_STAFF_RATIO" localSheetId="4">#REF!</definedName>
    <definedName name="STUDENT_TO_STAFF_RATIO">#REF!</definedName>
    <definedName name="TBL1_12ADM1_Out" localSheetId="15">#REF!</definedName>
    <definedName name="TBL1_12ADM1_Out" localSheetId="13">#REF!</definedName>
    <definedName name="TBL1_12ADM1_Out" localSheetId="10">#REF!</definedName>
    <definedName name="TBL1_12ADM1_Out" localSheetId="14">#REF!</definedName>
    <definedName name="TBL1_12ADM1_Out" localSheetId="8">#REF!</definedName>
    <definedName name="TBL1_12ADM1_Out" localSheetId="9">#REF!</definedName>
    <definedName name="TBL1_12ADM1_Out" localSheetId="12">#REF!</definedName>
    <definedName name="TBL1_12ADM1_Out" localSheetId="6">#REF!</definedName>
    <definedName name="TBL1_12ADM1_Out" localSheetId="4">#REF!</definedName>
    <definedName name="TBL1_12ADM1_Out">#REF!</definedName>
    <definedName name="TblAttndanceCenterSummary" localSheetId="15">#REF!</definedName>
    <definedName name="TblAttndanceCenterSummary" localSheetId="13">#REF!</definedName>
    <definedName name="TblAttndanceCenterSummary" localSheetId="10">#REF!</definedName>
    <definedName name="TblAttndanceCenterSummary" localSheetId="14">#REF!</definedName>
    <definedName name="TblAttndanceCenterSummary" localSheetId="8">#REF!</definedName>
    <definedName name="TblAttndanceCenterSummary" localSheetId="9">#REF!</definedName>
    <definedName name="TblAttndanceCenterSummary" localSheetId="12">#REF!</definedName>
    <definedName name="TblAttndanceCenterSummary" localSheetId="6">#REF!</definedName>
    <definedName name="TblAttndanceCenterSummary" localSheetId="4">#REF!</definedName>
    <definedName name="TblAttndanceCenterSummary">#REF!</definedName>
    <definedName name="TblAttndanceCenterSummary1" localSheetId="15">#REF!</definedName>
    <definedName name="TblAttndanceCenterSummary1" localSheetId="13">#REF!</definedName>
    <definedName name="TblAttndanceCenterSummary1" localSheetId="10">#REF!</definedName>
    <definedName name="TblAttndanceCenterSummary1" localSheetId="14">#REF!</definedName>
    <definedName name="TblAttndanceCenterSummary1" localSheetId="8">#REF!</definedName>
    <definedName name="TblAttndanceCenterSummary1" localSheetId="9">#REF!</definedName>
    <definedName name="TblAttndanceCenterSummary1" localSheetId="12">#REF!</definedName>
    <definedName name="TblAttndanceCenterSummary1" localSheetId="6">#REF!</definedName>
    <definedName name="TblAttndanceCenterSummary1" localSheetId="4">#REF!</definedName>
    <definedName name="TblAttndanceCenterSummary1">#REF!</definedName>
    <definedName name="Teacher_FTE" localSheetId="15">#REF!</definedName>
    <definedName name="Teacher_FTE" localSheetId="13">#REF!</definedName>
    <definedName name="Teacher_FTE" localSheetId="10">#REF!</definedName>
    <definedName name="Teacher_FTE" localSheetId="14">#REF!</definedName>
    <definedName name="Teacher_FTE" localSheetId="8">#REF!</definedName>
    <definedName name="Teacher_FTE" localSheetId="9">#REF!</definedName>
    <definedName name="Teacher_FTE" localSheetId="12">#REF!</definedName>
    <definedName name="Teacher_FTE" localSheetId="6">#REF!</definedName>
    <definedName name="Teacher_FTE" localSheetId="4">#REF!</definedName>
    <definedName name="Teacher_FTE">#REF!</definedName>
    <definedName name="Teacher_Ratio" localSheetId="15">#REF!</definedName>
    <definedName name="Teacher_Ratio" localSheetId="13">#REF!</definedName>
    <definedName name="Teacher_Ratio" localSheetId="10">#REF!</definedName>
    <definedName name="Teacher_Ratio" localSheetId="14">#REF!</definedName>
    <definedName name="Teacher_Ratio" localSheetId="8">#REF!</definedName>
    <definedName name="Teacher_Ratio" localSheetId="9">#REF!</definedName>
    <definedName name="Teacher_Ratio" localSheetId="12">#REF!</definedName>
    <definedName name="Teacher_Ratio" localSheetId="6">#REF!</definedName>
    <definedName name="Teacher_Ratio" localSheetId="4">#REF!</definedName>
    <definedName name="Teacher_Ratio">#REF!</definedName>
    <definedName name="test" localSheetId="15">[1]Districts!#REF!</definedName>
    <definedName name="test" localSheetId="13">[1]Districts!#REF!</definedName>
    <definedName name="test" localSheetId="14">[1]Districts!#REF!</definedName>
    <definedName name="test" localSheetId="12">[1]Districts!#REF!</definedName>
    <definedName name="test" localSheetId="6">[1]Districts!#REF!</definedName>
    <definedName name="test">[1]Districts!#REF!</definedName>
    <definedName name="Tot_Number_Of_Teachers" localSheetId="15">#REF!</definedName>
    <definedName name="Tot_Number_Of_Teachers" localSheetId="13">#REF!</definedName>
    <definedName name="Tot_Number_Of_Teachers" localSheetId="10">#REF!</definedName>
    <definedName name="Tot_Number_Of_Teachers" localSheetId="14">#REF!</definedName>
    <definedName name="Tot_Number_Of_Teachers" localSheetId="8">#REF!</definedName>
    <definedName name="Tot_Number_Of_Teachers" localSheetId="9">#REF!</definedName>
    <definedName name="Tot_Number_Of_Teachers" localSheetId="12">#REF!</definedName>
    <definedName name="Tot_Number_Of_Teachers" localSheetId="6">#REF!</definedName>
    <definedName name="Tot_Number_Of_Teachers" localSheetId="4">#REF!</definedName>
    <definedName name="Tot_Number_Of_Teachers">#REF!</definedName>
    <definedName name="Total_Expenditure" localSheetId="15">#REF!</definedName>
    <definedName name="Total_Expenditure" localSheetId="13">#REF!</definedName>
    <definedName name="Total_Expenditure" localSheetId="10">#REF!</definedName>
    <definedName name="Total_Expenditure" localSheetId="14">#REF!</definedName>
    <definedName name="Total_Expenditure" localSheetId="8">#REF!</definedName>
    <definedName name="Total_Expenditure" localSheetId="9">#REF!</definedName>
    <definedName name="Total_Expenditure" localSheetId="12">#REF!</definedName>
    <definedName name="Total_Expenditure" localSheetId="6">#REF!</definedName>
    <definedName name="Total_Expenditure" localSheetId="4">#REF!</definedName>
    <definedName name="Total_Expenditure">#REF!</definedName>
    <definedName name="TOTAL_INSTRUCTIONAL_STAFF" localSheetId="15">#REF!</definedName>
    <definedName name="TOTAL_INSTRUCTIONAL_STAFF" localSheetId="13">#REF!</definedName>
    <definedName name="TOTAL_INSTRUCTIONAL_STAFF" localSheetId="10">#REF!</definedName>
    <definedName name="TOTAL_INSTRUCTIONAL_STAFF" localSheetId="14">#REF!</definedName>
    <definedName name="TOTAL_INSTRUCTIONAL_STAFF" localSheetId="8">#REF!</definedName>
    <definedName name="TOTAL_INSTRUCTIONAL_STAFF" localSheetId="9">#REF!</definedName>
    <definedName name="TOTAL_INSTRUCTIONAL_STAFF" localSheetId="12">#REF!</definedName>
    <definedName name="TOTAL_INSTRUCTIONAL_STAFF" localSheetId="6">#REF!</definedName>
    <definedName name="TOTAL_INSTRUCTIONAL_STAFF" localSheetId="4">#REF!</definedName>
    <definedName name="TOTAL_INSTRUCTIONAL_STAFF">#REF!</definedName>
    <definedName name="Totals_by_School_District" localSheetId="15">#REF!</definedName>
    <definedName name="Totals_by_School_District" localSheetId="13">#REF!</definedName>
    <definedName name="Totals_by_School_District" localSheetId="10">#REF!</definedName>
    <definedName name="Totals_by_School_District" localSheetId="14">#REF!</definedName>
    <definedName name="Totals_by_School_District" localSheetId="8">#REF!</definedName>
    <definedName name="Totals_by_School_District" localSheetId="9">#REF!</definedName>
    <definedName name="Totals_by_School_District" localSheetId="12">#REF!</definedName>
    <definedName name="Totals_by_School_District" localSheetId="6">#REF!</definedName>
    <definedName name="Totals_by_School_District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18" l="1"/>
  <c r="B12" i="18"/>
  <c r="B11" i="18"/>
  <c r="B10" i="18"/>
  <c r="B9" i="18"/>
  <c r="B8" i="18"/>
  <c r="B7" i="18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V154" i="2"/>
  <c r="W154" i="2"/>
  <c r="D154" i="2"/>
  <c r="B7" i="4" l="1"/>
  <c r="C7" i="13"/>
  <c r="G7" i="13"/>
  <c r="K7" i="13"/>
  <c r="G24" i="13" l="1"/>
  <c r="G25" i="13"/>
  <c r="G26" i="13"/>
  <c r="G27" i="13"/>
  <c r="G28" i="13"/>
  <c r="G23" i="13"/>
  <c r="F24" i="13"/>
  <c r="F25" i="13"/>
  <c r="F26" i="13"/>
  <c r="F27" i="13"/>
  <c r="F28" i="13"/>
  <c r="F23" i="13"/>
  <c r="C25" i="13"/>
  <c r="C26" i="13"/>
  <c r="C27" i="13"/>
  <c r="C28" i="13"/>
  <c r="C24" i="13"/>
  <c r="C23" i="13"/>
  <c r="B24" i="13"/>
  <c r="B25" i="13"/>
  <c r="B26" i="13"/>
  <c r="B27" i="13"/>
  <c r="B28" i="13"/>
  <c r="B23" i="13"/>
  <c r="B6" i="13" l="1"/>
  <c r="C6" i="13" s="1"/>
  <c r="C9" i="13" s="1"/>
  <c r="N12" i="13"/>
  <c r="N13" i="13" s="1"/>
  <c r="J12" i="13"/>
  <c r="J13" i="13" s="1"/>
  <c r="F12" i="13"/>
  <c r="F13" i="13" s="1"/>
  <c r="B12" i="13"/>
  <c r="B13" i="13" s="1"/>
  <c r="B5" i="13"/>
  <c r="C5" i="13" s="1"/>
  <c r="C8" i="13" s="1"/>
  <c r="O7" i="13"/>
  <c r="L154" i="17"/>
  <c r="K154" i="17"/>
  <c r="H154" i="17"/>
  <c r="K152" i="17"/>
  <c r="J152" i="17"/>
  <c r="I152" i="17"/>
  <c r="H152" i="17"/>
  <c r="G152" i="17"/>
  <c r="F152" i="17"/>
  <c r="E152" i="17"/>
  <c r="D152" i="17"/>
  <c r="C152" i="17"/>
  <c r="L151" i="17"/>
  <c r="K151" i="17"/>
  <c r="H151" i="17"/>
  <c r="L150" i="17"/>
  <c r="K150" i="17"/>
  <c r="H150" i="17"/>
  <c r="L149" i="17"/>
  <c r="K149" i="17"/>
  <c r="H149" i="17"/>
  <c r="L148" i="17"/>
  <c r="K148" i="17"/>
  <c r="H148" i="17"/>
  <c r="L147" i="17"/>
  <c r="K147" i="17"/>
  <c r="H147" i="17"/>
  <c r="L146" i="17"/>
  <c r="K146" i="17"/>
  <c r="H146" i="17"/>
  <c r="L145" i="17"/>
  <c r="K145" i="17"/>
  <c r="H145" i="17"/>
  <c r="L144" i="17"/>
  <c r="K144" i="17"/>
  <c r="H144" i="17"/>
  <c r="L143" i="17"/>
  <c r="K143" i="17"/>
  <c r="H143" i="17"/>
  <c r="L142" i="17"/>
  <c r="K142" i="17"/>
  <c r="H142" i="17"/>
  <c r="L141" i="17"/>
  <c r="K141" i="17"/>
  <c r="H141" i="17"/>
  <c r="L140" i="17"/>
  <c r="K140" i="17"/>
  <c r="H140" i="17"/>
  <c r="L139" i="17"/>
  <c r="K139" i="17"/>
  <c r="H139" i="17"/>
  <c r="L138" i="17"/>
  <c r="K138" i="17"/>
  <c r="H138" i="17"/>
  <c r="L137" i="17"/>
  <c r="K137" i="17"/>
  <c r="H137" i="17"/>
  <c r="L136" i="17"/>
  <c r="K136" i="17"/>
  <c r="H136" i="17"/>
  <c r="L135" i="17"/>
  <c r="K135" i="17"/>
  <c r="H135" i="17"/>
  <c r="L134" i="17"/>
  <c r="K134" i="17"/>
  <c r="H134" i="17"/>
  <c r="L133" i="17"/>
  <c r="K133" i="17"/>
  <c r="H133" i="17"/>
  <c r="L132" i="17"/>
  <c r="K132" i="17"/>
  <c r="H132" i="17"/>
  <c r="L131" i="17"/>
  <c r="K131" i="17"/>
  <c r="H131" i="17"/>
  <c r="L130" i="17"/>
  <c r="K130" i="17"/>
  <c r="H130" i="17"/>
  <c r="L129" i="17"/>
  <c r="K129" i="17"/>
  <c r="H129" i="17"/>
  <c r="L128" i="17"/>
  <c r="K128" i="17"/>
  <c r="H128" i="17"/>
  <c r="L127" i="17"/>
  <c r="K127" i="17"/>
  <c r="H127" i="17"/>
  <c r="L126" i="17"/>
  <c r="K126" i="17"/>
  <c r="H126" i="17"/>
  <c r="L125" i="17"/>
  <c r="K125" i="17"/>
  <c r="H125" i="17"/>
  <c r="L124" i="17"/>
  <c r="K124" i="17"/>
  <c r="H124" i="17"/>
  <c r="L123" i="17"/>
  <c r="K123" i="17"/>
  <c r="H123" i="17"/>
  <c r="L122" i="17"/>
  <c r="K122" i="17"/>
  <c r="H122" i="17"/>
  <c r="L121" i="17"/>
  <c r="K121" i="17"/>
  <c r="H121" i="17"/>
  <c r="L120" i="17"/>
  <c r="K120" i="17"/>
  <c r="H120" i="17"/>
  <c r="L119" i="17"/>
  <c r="K119" i="17"/>
  <c r="H119" i="17"/>
  <c r="L118" i="17"/>
  <c r="K118" i="17"/>
  <c r="H118" i="17"/>
  <c r="L117" i="17"/>
  <c r="K117" i="17"/>
  <c r="H117" i="17"/>
  <c r="L116" i="17"/>
  <c r="K116" i="17"/>
  <c r="H116" i="17"/>
  <c r="L115" i="17"/>
  <c r="K115" i="17"/>
  <c r="H115" i="17"/>
  <c r="L114" i="17"/>
  <c r="K114" i="17"/>
  <c r="H114" i="17"/>
  <c r="L113" i="17"/>
  <c r="K113" i="17"/>
  <c r="H113" i="17"/>
  <c r="L112" i="17"/>
  <c r="K112" i="17"/>
  <c r="H112" i="17"/>
  <c r="L111" i="17"/>
  <c r="K111" i="17"/>
  <c r="H111" i="17"/>
  <c r="L110" i="17"/>
  <c r="K110" i="17"/>
  <c r="H110" i="17"/>
  <c r="L109" i="17"/>
  <c r="K109" i="17"/>
  <c r="H109" i="17"/>
  <c r="L108" i="17"/>
  <c r="K108" i="17"/>
  <c r="H108" i="17"/>
  <c r="L107" i="17"/>
  <c r="K107" i="17"/>
  <c r="H107" i="17"/>
  <c r="L106" i="17"/>
  <c r="K106" i="17"/>
  <c r="H106" i="17"/>
  <c r="L105" i="17"/>
  <c r="K105" i="17"/>
  <c r="H105" i="17"/>
  <c r="L104" i="17"/>
  <c r="K104" i="17"/>
  <c r="H104" i="17"/>
  <c r="L103" i="17"/>
  <c r="K103" i="17"/>
  <c r="H103" i="17"/>
  <c r="L102" i="17"/>
  <c r="K102" i="17"/>
  <c r="H102" i="17"/>
  <c r="L101" i="17"/>
  <c r="K101" i="17"/>
  <c r="H101" i="17"/>
  <c r="L100" i="17"/>
  <c r="K100" i="17"/>
  <c r="H100" i="17"/>
  <c r="L99" i="17"/>
  <c r="K99" i="17"/>
  <c r="H99" i="17"/>
  <c r="L98" i="17"/>
  <c r="K98" i="17"/>
  <c r="H98" i="17"/>
  <c r="L97" i="17"/>
  <c r="K97" i="17"/>
  <c r="H97" i="17"/>
  <c r="L96" i="17"/>
  <c r="K96" i="17"/>
  <c r="H96" i="17"/>
  <c r="L95" i="17"/>
  <c r="K95" i="17"/>
  <c r="H95" i="17"/>
  <c r="L94" i="17"/>
  <c r="K94" i="17"/>
  <c r="H94" i="17"/>
  <c r="L93" i="17"/>
  <c r="K93" i="17"/>
  <c r="H93" i="17"/>
  <c r="L92" i="17"/>
  <c r="K92" i="17"/>
  <c r="H92" i="17"/>
  <c r="L91" i="17"/>
  <c r="K91" i="17"/>
  <c r="H91" i="17"/>
  <c r="L90" i="17"/>
  <c r="K90" i="17"/>
  <c r="H90" i="17"/>
  <c r="L89" i="17"/>
  <c r="K89" i="17"/>
  <c r="H89" i="17"/>
  <c r="L88" i="17"/>
  <c r="K88" i="17"/>
  <c r="H88" i="17"/>
  <c r="L87" i="17"/>
  <c r="K87" i="17"/>
  <c r="H87" i="17"/>
  <c r="L86" i="17"/>
  <c r="K86" i="17"/>
  <c r="H86" i="17"/>
  <c r="L85" i="17"/>
  <c r="K85" i="17"/>
  <c r="H85" i="17"/>
  <c r="L84" i="17"/>
  <c r="K84" i="17"/>
  <c r="H84" i="17"/>
  <c r="L83" i="17"/>
  <c r="K83" i="17"/>
  <c r="H83" i="17"/>
  <c r="L82" i="17"/>
  <c r="K82" i="17"/>
  <c r="H82" i="17"/>
  <c r="L81" i="17"/>
  <c r="K81" i="17"/>
  <c r="H81" i="17"/>
  <c r="L80" i="17"/>
  <c r="K80" i="17"/>
  <c r="H80" i="17"/>
  <c r="L79" i="17"/>
  <c r="K79" i="17"/>
  <c r="H79" i="17"/>
  <c r="L78" i="17"/>
  <c r="K78" i="17"/>
  <c r="H78" i="17"/>
  <c r="L77" i="17"/>
  <c r="K77" i="17"/>
  <c r="H77" i="17"/>
  <c r="L76" i="17"/>
  <c r="K76" i="17"/>
  <c r="H76" i="17"/>
  <c r="L75" i="17"/>
  <c r="K75" i="17"/>
  <c r="H75" i="17"/>
  <c r="L74" i="17"/>
  <c r="K74" i="17"/>
  <c r="H74" i="17"/>
  <c r="L73" i="17"/>
  <c r="K73" i="17"/>
  <c r="H73" i="17"/>
  <c r="L72" i="17"/>
  <c r="K72" i="17"/>
  <c r="H72" i="17"/>
  <c r="L71" i="17"/>
  <c r="K71" i="17"/>
  <c r="H71" i="17"/>
  <c r="L70" i="17"/>
  <c r="K70" i="17"/>
  <c r="H70" i="17"/>
  <c r="L69" i="17"/>
  <c r="K69" i="17"/>
  <c r="H69" i="17"/>
  <c r="L68" i="17"/>
  <c r="K68" i="17"/>
  <c r="H68" i="17"/>
  <c r="L67" i="17"/>
  <c r="K67" i="17"/>
  <c r="H67" i="17"/>
  <c r="L66" i="17"/>
  <c r="K66" i="17"/>
  <c r="H66" i="17"/>
  <c r="L65" i="17"/>
  <c r="K65" i="17"/>
  <c r="H65" i="17"/>
  <c r="L64" i="17"/>
  <c r="K64" i="17"/>
  <c r="H64" i="17"/>
  <c r="L63" i="17"/>
  <c r="K63" i="17"/>
  <c r="H63" i="17"/>
  <c r="L62" i="17"/>
  <c r="K62" i="17"/>
  <c r="H62" i="17"/>
  <c r="L61" i="17"/>
  <c r="K61" i="17"/>
  <c r="H61" i="17"/>
  <c r="L60" i="17"/>
  <c r="K60" i="17"/>
  <c r="H60" i="17"/>
  <c r="L59" i="17"/>
  <c r="K59" i="17"/>
  <c r="H59" i="17"/>
  <c r="L58" i="17"/>
  <c r="K58" i="17"/>
  <c r="H58" i="17"/>
  <c r="L57" i="17"/>
  <c r="K57" i="17"/>
  <c r="H57" i="17"/>
  <c r="L56" i="17"/>
  <c r="K56" i="17"/>
  <c r="H56" i="17"/>
  <c r="L55" i="17"/>
  <c r="K55" i="17"/>
  <c r="H55" i="17"/>
  <c r="L54" i="17"/>
  <c r="K54" i="17"/>
  <c r="H54" i="17"/>
  <c r="L53" i="17"/>
  <c r="K53" i="17"/>
  <c r="H53" i="17"/>
  <c r="L52" i="17"/>
  <c r="K52" i="17"/>
  <c r="H52" i="17"/>
  <c r="L51" i="17"/>
  <c r="K51" i="17"/>
  <c r="H51" i="17"/>
  <c r="L50" i="17"/>
  <c r="K50" i="17"/>
  <c r="H50" i="17"/>
  <c r="L49" i="17"/>
  <c r="K49" i="17"/>
  <c r="H49" i="17"/>
  <c r="L48" i="17"/>
  <c r="K48" i="17"/>
  <c r="H48" i="17"/>
  <c r="L47" i="17"/>
  <c r="K47" i="17"/>
  <c r="H47" i="17"/>
  <c r="L46" i="17"/>
  <c r="K46" i="17"/>
  <c r="H46" i="17"/>
  <c r="L45" i="17"/>
  <c r="K45" i="17"/>
  <c r="H45" i="17"/>
  <c r="L44" i="17"/>
  <c r="K44" i="17"/>
  <c r="H44" i="17"/>
  <c r="L43" i="17"/>
  <c r="K43" i="17"/>
  <c r="H43" i="17"/>
  <c r="L42" i="17"/>
  <c r="K42" i="17"/>
  <c r="H42" i="17"/>
  <c r="L41" i="17"/>
  <c r="K41" i="17"/>
  <c r="H41" i="17"/>
  <c r="L40" i="17"/>
  <c r="K40" i="17"/>
  <c r="H40" i="17"/>
  <c r="L39" i="17"/>
  <c r="K39" i="17"/>
  <c r="H39" i="17"/>
  <c r="L38" i="17"/>
  <c r="K38" i="17"/>
  <c r="H38" i="17"/>
  <c r="L37" i="17"/>
  <c r="K37" i="17"/>
  <c r="H37" i="17"/>
  <c r="L36" i="17"/>
  <c r="K36" i="17"/>
  <c r="H36" i="17"/>
  <c r="L35" i="17"/>
  <c r="K35" i="17"/>
  <c r="H35" i="17"/>
  <c r="L34" i="17"/>
  <c r="K34" i="17"/>
  <c r="H34" i="17"/>
  <c r="L33" i="17"/>
  <c r="K33" i="17"/>
  <c r="H33" i="17"/>
  <c r="L32" i="17"/>
  <c r="K32" i="17"/>
  <c r="H32" i="17"/>
  <c r="L31" i="17"/>
  <c r="K31" i="17"/>
  <c r="H31" i="17"/>
  <c r="L30" i="17"/>
  <c r="K30" i="17"/>
  <c r="H30" i="17"/>
  <c r="L29" i="17"/>
  <c r="K29" i="17"/>
  <c r="H29" i="17"/>
  <c r="L28" i="17"/>
  <c r="K28" i="17"/>
  <c r="H28" i="17"/>
  <c r="L27" i="17"/>
  <c r="K27" i="17"/>
  <c r="H27" i="17"/>
  <c r="L26" i="17"/>
  <c r="K26" i="17"/>
  <c r="H26" i="17"/>
  <c r="L25" i="17"/>
  <c r="K25" i="17"/>
  <c r="H25" i="17"/>
  <c r="L24" i="17"/>
  <c r="K24" i="17"/>
  <c r="H24" i="17"/>
  <c r="L23" i="17"/>
  <c r="K23" i="17"/>
  <c r="H23" i="17"/>
  <c r="L22" i="17"/>
  <c r="K22" i="17"/>
  <c r="H22" i="17"/>
  <c r="L21" i="17"/>
  <c r="K21" i="17"/>
  <c r="H21" i="17"/>
  <c r="L20" i="17"/>
  <c r="K20" i="17"/>
  <c r="H20" i="17"/>
  <c r="L19" i="17"/>
  <c r="K19" i="17"/>
  <c r="H19" i="17"/>
  <c r="L18" i="17"/>
  <c r="K18" i="17"/>
  <c r="H18" i="17"/>
  <c r="L17" i="17"/>
  <c r="K17" i="17"/>
  <c r="H17" i="17"/>
  <c r="L16" i="17"/>
  <c r="K16" i="17"/>
  <c r="H16" i="17"/>
  <c r="L15" i="17"/>
  <c r="K15" i="17"/>
  <c r="H15" i="17"/>
  <c r="L14" i="17"/>
  <c r="K14" i="17"/>
  <c r="H14" i="17"/>
  <c r="L13" i="17"/>
  <c r="K13" i="17"/>
  <c r="H13" i="17"/>
  <c r="L12" i="17"/>
  <c r="K12" i="17"/>
  <c r="H12" i="17"/>
  <c r="L11" i="17"/>
  <c r="K11" i="17"/>
  <c r="H11" i="17"/>
  <c r="L10" i="17"/>
  <c r="K10" i="17"/>
  <c r="H10" i="17"/>
  <c r="L9" i="17"/>
  <c r="K9" i="17"/>
  <c r="H9" i="17"/>
  <c r="L8" i="17"/>
  <c r="K8" i="17"/>
  <c r="H8" i="17"/>
  <c r="L7" i="17"/>
  <c r="K7" i="17"/>
  <c r="H7" i="17"/>
  <c r="L6" i="17"/>
  <c r="K6" i="17"/>
  <c r="H6" i="17"/>
  <c r="L5" i="17"/>
  <c r="K5" i="17"/>
  <c r="H5" i="17"/>
  <c r="L4" i="17"/>
  <c r="K4" i="17"/>
  <c r="H4" i="17"/>
  <c r="L3" i="17"/>
  <c r="K3" i="17"/>
  <c r="H3" i="17"/>
  <c r="L2" i="17"/>
  <c r="L152" i="17" s="1"/>
  <c r="L156" i="17" s="1"/>
  <c r="K2" i="17"/>
  <c r="H2" i="17"/>
  <c r="I155" i="16"/>
  <c r="H155" i="16"/>
  <c r="J155" i="16" s="1"/>
  <c r="G155" i="16"/>
  <c r="F155" i="16"/>
  <c r="E155" i="16"/>
  <c r="N153" i="16"/>
  <c r="L153" i="16"/>
  <c r="D153" i="16"/>
  <c r="C153" i="16"/>
  <c r="I152" i="16"/>
  <c r="G152" i="16"/>
  <c r="H152" i="16" s="1"/>
  <c r="J152" i="16" s="1"/>
  <c r="F152" i="16"/>
  <c r="E152" i="16"/>
  <c r="I151" i="16"/>
  <c r="G151" i="16"/>
  <c r="H151" i="16" s="1"/>
  <c r="J151" i="16" s="1"/>
  <c r="K151" i="16" s="1"/>
  <c r="F151" i="16"/>
  <c r="E151" i="16"/>
  <c r="M150" i="16"/>
  <c r="O150" i="16" s="1"/>
  <c r="I150" i="16"/>
  <c r="G150" i="16"/>
  <c r="H150" i="16" s="1"/>
  <c r="J150" i="16" s="1"/>
  <c r="K150" i="16" s="1"/>
  <c r="E150" i="16"/>
  <c r="F150" i="16" s="1"/>
  <c r="J149" i="16"/>
  <c r="I149" i="16"/>
  <c r="G149" i="16"/>
  <c r="F149" i="16"/>
  <c r="H149" i="16" s="1"/>
  <c r="E149" i="16"/>
  <c r="J148" i="16"/>
  <c r="I148" i="16"/>
  <c r="G148" i="16"/>
  <c r="H148" i="16" s="1"/>
  <c r="F148" i="16"/>
  <c r="E148" i="16"/>
  <c r="I147" i="16"/>
  <c r="G147" i="16"/>
  <c r="H147" i="16" s="1"/>
  <c r="J147" i="16" s="1"/>
  <c r="F147" i="16"/>
  <c r="E147" i="16"/>
  <c r="I146" i="16"/>
  <c r="G146" i="16"/>
  <c r="H146" i="16" s="1"/>
  <c r="E146" i="16"/>
  <c r="F146" i="16" s="1"/>
  <c r="O145" i="16"/>
  <c r="I144" i="16"/>
  <c r="G144" i="16"/>
  <c r="H144" i="16" s="1"/>
  <c r="J144" i="16" s="1"/>
  <c r="F144" i="16"/>
  <c r="E144" i="16"/>
  <c r="I143" i="16"/>
  <c r="H143" i="16"/>
  <c r="J143" i="16" s="1"/>
  <c r="G143" i="16"/>
  <c r="F143" i="16"/>
  <c r="E143" i="16"/>
  <c r="I142" i="16"/>
  <c r="E142" i="16"/>
  <c r="F142" i="16" s="1"/>
  <c r="M141" i="16"/>
  <c r="O141" i="16" s="1"/>
  <c r="I141" i="16"/>
  <c r="G141" i="16"/>
  <c r="F141" i="16"/>
  <c r="H141" i="16" s="1"/>
  <c r="J141" i="16" s="1"/>
  <c r="K141" i="16" s="1"/>
  <c r="E141" i="16"/>
  <c r="K140" i="16"/>
  <c r="J140" i="16"/>
  <c r="I140" i="16"/>
  <c r="G140" i="16"/>
  <c r="H140" i="16" s="1"/>
  <c r="F140" i="16"/>
  <c r="E140" i="16"/>
  <c r="I139" i="16"/>
  <c r="G139" i="16"/>
  <c r="F139" i="16"/>
  <c r="H139" i="16" s="1"/>
  <c r="J139" i="16" s="1"/>
  <c r="E139" i="16"/>
  <c r="I138" i="16"/>
  <c r="E138" i="16"/>
  <c r="I137" i="16"/>
  <c r="H137" i="16"/>
  <c r="J137" i="16" s="1"/>
  <c r="G137" i="16"/>
  <c r="F137" i="16"/>
  <c r="E137" i="16"/>
  <c r="I136" i="16"/>
  <c r="G136" i="16"/>
  <c r="H136" i="16" s="1"/>
  <c r="J136" i="16" s="1"/>
  <c r="F136" i="16"/>
  <c r="E136" i="16"/>
  <c r="M135" i="16"/>
  <c r="O135" i="16" s="1"/>
  <c r="I135" i="16"/>
  <c r="H135" i="16"/>
  <c r="J135" i="16" s="1"/>
  <c r="K135" i="16" s="1"/>
  <c r="G135" i="16"/>
  <c r="F135" i="16"/>
  <c r="E135" i="16"/>
  <c r="I134" i="16"/>
  <c r="E134" i="16"/>
  <c r="F134" i="16" s="1"/>
  <c r="M133" i="16"/>
  <c r="O133" i="16" s="1"/>
  <c r="I133" i="16"/>
  <c r="G133" i="16"/>
  <c r="F133" i="16"/>
  <c r="H133" i="16" s="1"/>
  <c r="J133" i="16" s="1"/>
  <c r="K133" i="16" s="1"/>
  <c r="E133" i="16"/>
  <c r="K132" i="16"/>
  <c r="J132" i="16"/>
  <c r="I132" i="16"/>
  <c r="G132" i="16"/>
  <c r="H132" i="16" s="1"/>
  <c r="F132" i="16"/>
  <c r="E132" i="16"/>
  <c r="I131" i="16"/>
  <c r="G131" i="16"/>
  <c r="F131" i="16"/>
  <c r="H131" i="16" s="1"/>
  <c r="J131" i="16" s="1"/>
  <c r="E131" i="16"/>
  <c r="I130" i="16"/>
  <c r="E130" i="16"/>
  <c r="I129" i="16"/>
  <c r="H129" i="16"/>
  <c r="J129" i="16" s="1"/>
  <c r="G129" i="16"/>
  <c r="F129" i="16"/>
  <c r="E129" i="16"/>
  <c r="I128" i="16"/>
  <c r="G128" i="16"/>
  <c r="H128" i="16" s="1"/>
  <c r="J128" i="16" s="1"/>
  <c r="F128" i="16"/>
  <c r="E128" i="16"/>
  <c r="I127" i="16"/>
  <c r="H127" i="16"/>
  <c r="J127" i="16" s="1"/>
  <c r="G127" i="16"/>
  <c r="F127" i="16"/>
  <c r="E127" i="16"/>
  <c r="I126" i="16"/>
  <c r="E126" i="16"/>
  <c r="F126" i="16" s="1"/>
  <c r="M125" i="16"/>
  <c r="O125" i="16" s="1"/>
  <c r="I125" i="16"/>
  <c r="G125" i="16"/>
  <c r="F125" i="16"/>
  <c r="H125" i="16" s="1"/>
  <c r="J125" i="16" s="1"/>
  <c r="K125" i="16" s="1"/>
  <c r="E125" i="16"/>
  <c r="K124" i="16"/>
  <c r="J124" i="16"/>
  <c r="I124" i="16"/>
  <c r="G124" i="16"/>
  <c r="H124" i="16" s="1"/>
  <c r="F124" i="16"/>
  <c r="E124" i="16"/>
  <c r="I123" i="16"/>
  <c r="G123" i="16"/>
  <c r="F123" i="16"/>
  <c r="H123" i="16" s="1"/>
  <c r="J123" i="16" s="1"/>
  <c r="E123" i="16"/>
  <c r="I122" i="16"/>
  <c r="E122" i="16"/>
  <c r="I121" i="16"/>
  <c r="H121" i="16"/>
  <c r="J121" i="16" s="1"/>
  <c r="G121" i="16"/>
  <c r="F121" i="16"/>
  <c r="E121" i="16"/>
  <c r="I120" i="16"/>
  <c r="G120" i="16"/>
  <c r="H120" i="16" s="1"/>
  <c r="J120" i="16" s="1"/>
  <c r="F120" i="16"/>
  <c r="E120" i="16"/>
  <c r="M119" i="16"/>
  <c r="O119" i="16" s="1"/>
  <c r="I119" i="16"/>
  <c r="H119" i="16"/>
  <c r="J119" i="16" s="1"/>
  <c r="K119" i="16" s="1"/>
  <c r="G119" i="16"/>
  <c r="F119" i="16"/>
  <c r="E119" i="16"/>
  <c r="I118" i="16"/>
  <c r="E118" i="16"/>
  <c r="F118" i="16" s="1"/>
  <c r="I117" i="16"/>
  <c r="F117" i="16"/>
  <c r="E117" i="16"/>
  <c r="G117" i="16" s="1"/>
  <c r="J116" i="16"/>
  <c r="I116" i="16"/>
  <c r="G116" i="16"/>
  <c r="H116" i="16" s="1"/>
  <c r="F116" i="16"/>
  <c r="E116" i="16"/>
  <c r="I115" i="16"/>
  <c r="G115" i="16"/>
  <c r="H115" i="16" s="1"/>
  <c r="J115" i="16" s="1"/>
  <c r="F115" i="16"/>
  <c r="E115" i="16"/>
  <c r="I114" i="16"/>
  <c r="G114" i="16"/>
  <c r="H114" i="16" s="1"/>
  <c r="J114" i="16" s="1"/>
  <c r="E114" i="16"/>
  <c r="F114" i="16" s="1"/>
  <c r="I113" i="16"/>
  <c r="E113" i="16"/>
  <c r="G113" i="16" s="1"/>
  <c r="I112" i="16"/>
  <c r="G112" i="16"/>
  <c r="F112" i="16"/>
  <c r="E112" i="16"/>
  <c r="I111" i="16"/>
  <c r="G111" i="16"/>
  <c r="F111" i="16"/>
  <c r="H111" i="16" s="1"/>
  <c r="J111" i="16" s="1"/>
  <c r="E111" i="16"/>
  <c r="I110" i="16"/>
  <c r="E110" i="16"/>
  <c r="I109" i="16"/>
  <c r="F109" i="16"/>
  <c r="H109" i="16" s="1"/>
  <c r="J109" i="16" s="1"/>
  <c r="E109" i="16"/>
  <c r="G109" i="16" s="1"/>
  <c r="I108" i="16"/>
  <c r="G108" i="16"/>
  <c r="H108" i="16" s="1"/>
  <c r="J108" i="16" s="1"/>
  <c r="F108" i="16"/>
  <c r="E108" i="16"/>
  <c r="I107" i="16"/>
  <c r="G107" i="16"/>
  <c r="H107" i="16" s="1"/>
  <c r="J107" i="16" s="1"/>
  <c r="K107" i="16" s="1"/>
  <c r="F107" i="16"/>
  <c r="E107" i="16"/>
  <c r="M106" i="16"/>
  <c r="O106" i="16" s="1"/>
  <c r="I106" i="16"/>
  <c r="G106" i="16"/>
  <c r="H106" i="16" s="1"/>
  <c r="J106" i="16" s="1"/>
  <c r="K106" i="16" s="1"/>
  <c r="E106" i="16"/>
  <c r="F106" i="16" s="1"/>
  <c r="I105" i="16"/>
  <c r="E105" i="16"/>
  <c r="I104" i="16"/>
  <c r="G104" i="16"/>
  <c r="F104" i="16"/>
  <c r="E104" i="16"/>
  <c r="I103" i="16"/>
  <c r="H103" i="16"/>
  <c r="J103" i="16" s="1"/>
  <c r="K103" i="16" s="1"/>
  <c r="G103" i="16"/>
  <c r="F103" i="16"/>
  <c r="E103" i="16"/>
  <c r="I102" i="16"/>
  <c r="E102" i="16"/>
  <c r="F102" i="16" s="1"/>
  <c r="I101" i="16"/>
  <c r="F101" i="16"/>
  <c r="E101" i="16"/>
  <c r="G101" i="16" s="1"/>
  <c r="H101" i="16" s="1"/>
  <c r="J101" i="16" s="1"/>
  <c r="I100" i="16"/>
  <c r="F100" i="16"/>
  <c r="E100" i="16"/>
  <c r="G100" i="16" s="1"/>
  <c r="H100" i="16" s="1"/>
  <c r="J100" i="16" s="1"/>
  <c r="I99" i="16"/>
  <c r="G99" i="16"/>
  <c r="H99" i="16" s="1"/>
  <c r="J99" i="16" s="1"/>
  <c r="F99" i="16"/>
  <c r="E99" i="16"/>
  <c r="K98" i="16"/>
  <c r="I98" i="16"/>
  <c r="H98" i="16"/>
  <c r="J98" i="16" s="1"/>
  <c r="G98" i="16"/>
  <c r="F98" i="16"/>
  <c r="E98" i="16"/>
  <c r="I97" i="16"/>
  <c r="E97" i="16"/>
  <c r="I96" i="16"/>
  <c r="F96" i="16"/>
  <c r="E96" i="16"/>
  <c r="G96" i="16" s="1"/>
  <c r="I95" i="16"/>
  <c r="G95" i="16"/>
  <c r="F95" i="16"/>
  <c r="E95" i="16"/>
  <c r="I94" i="16"/>
  <c r="G94" i="16"/>
  <c r="H94" i="16" s="1"/>
  <c r="J94" i="16" s="1"/>
  <c r="F94" i="16"/>
  <c r="E94" i="16"/>
  <c r="I93" i="16"/>
  <c r="E93" i="16"/>
  <c r="I92" i="16"/>
  <c r="E92" i="16"/>
  <c r="G92" i="16" s="1"/>
  <c r="J91" i="16"/>
  <c r="I91" i="16"/>
  <c r="G91" i="16"/>
  <c r="H91" i="16" s="1"/>
  <c r="F91" i="16"/>
  <c r="E91" i="16"/>
  <c r="I90" i="16"/>
  <c r="H90" i="16"/>
  <c r="J90" i="16" s="1"/>
  <c r="G90" i="16"/>
  <c r="F90" i="16"/>
  <c r="E90" i="16"/>
  <c r="I89" i="16"/>
  <c r="E89" i="16"/>
  <c r="I88" i="16"/>
  <c r="F88" i="16"/>
  <c r="E88" i="16"/>
  <c r="G88" i="16" s="1"/>
  <c r="I87" i="16"/>
  <c r="G87" i="16"/>
  <c r="F87" i="16"/>
  <c r="E87" i="16"/>
  <c r="I86" i="16"/>
  <c r="G86" i="16"/>
  <c r="H86" i="16" s="1"/>
  <c r="J86" i="16" s="1"/>
  <c r="K86" i="16" s="1"/>
  <c r="F86" i="16"/>
  <c r="E86" i="16"/>
  <c r="I85" i="16"/>
  <c r="E85" i="16"/>
  <c r="I84" i="16"/>
  <c r="E84" i="16"/>
  <c r="I83" i="16"/>
  <c r="G83" i="16"/>
  <c r="H83" i="16" s="1"/>
  <c r="J83" i="16" s="1"/>
  <c r="F83" i="16"/>
  <c r="E83" i="16"/>
  <c r="K82" i="16"/>
  <c r="I82" i="16"/>
  <c r="H82" i="16"/>
  <c r="J82" i="16" s="1"/>
  <c r="M82" i="16" s="1"/>
  <c r="O82" i="16" s="1"/>
  <c r="G82" i="16"/>
  <c r="F82" i="16"/>
  <c r="E82" i="16"/>
  <c r="I81" i="16"/>
  <c r="E81" i="16"/>
  <c r="I80" i="16"/>
  <c r="F80" i="16"/>
  <c r="E80" i="16"/>
  <c r="G80" i="16" s="1"/>
  <c r="I79" i="16"/>
  <c r="G79" i="16"/>
  <c r="F79" i="16"/>
  <c r="E79" i="16"/>
  <c r="I78" i="16"/>
  <c r="G78" i="16"/>
  <c r="H78" i="16" s="1"/>
  <c r="J78" i="16" s="1"/>
  <c r="F78" i="16"/>
  <c r="E78" i="16"/>
  <c r="I77" i="16"/>
  <c r="E77" i="16"/>
  <c r="I76" i="16"/>
  <c r="E76" i="16"/>
  <c r="G76" i="16" s="1"/>
  <c r="J75" i="16"/>
  <c r="I75" i="16"/>
  <c r="G75" i="16"/>
  <c r="H75" i="16" s="1"/>
  <c r="F75" i="16"/>
  <c r="E75" i="16"/>
  <c r="O74" i="16"/>
  <c r="I73" i="16"/>
  <c r="E73" i="16"/>
  <c r="I72" i="16"/>
  <c r="F72" i="16"/>
  <c r="E72" i="16"/>
  <c r="G72" i="16" s="1"/>
  <c r="I71" i="16"/>
  <c r="G71" i="16"/>
  <c r="F71" i="16"/>
  <c r="E71" i="16"/>
  <c r="I70" i="16"/>
  <c r="G70" i="16"/>
  <c r="H70" i="16" s="1"/>
  <c r="J70" i="16" s="1"/>
  <c r="K70" i="16" s="1"/>
  <c r="F70" i="16"/>
  <c r="E70" i="16"/>
  <c r="I69" i="16"/>
  <c r="E69" i="16"/>
  <c r="I68" i="16"/>
  <c r="E68" i="16"/>
  <c r="I67" i="16"/>
  <c r="G67" i="16"/>
  <c r="H67" i="16" s="1"/>
  <c r="J67" i="16" s="1"/>
  <c r="F67" i="16"/>
  <c r="E67" i="16"/>
  <c r="O66" i="16"/>
  <c r="I65" i="16"/>
  <c r="E65" i="16"/>
  <c r="I64" i="16"/>
  <c r="F64" i="16"/>
  <c r="E64" i="16"/>
  <c r="G64" i="16" s="1"/>
  <c r="I63" i="16"/>
  <c r="G63" i="16"/>
  <c r="F63" i="16"/>
  <c r="E63" i="16"/>
  <c r="I62" i="16"/>
  <c r="G62" i="16"/>
  <c r="F62" i="16"/>
  <c r="H62" i="16" s="1"/>
  <c r="J62" i="16" s="1"/>
  <c r="E62" i="16"/>
  <c r="I61" i="16"/>
  <c r="E61" i="16"/>
  <c r="I60" i="16"/>
  <c r="F60" i="16"/>
  <c r="H60" i="16" s="1"/>
  <c r="E60" i="16"/>
  <c r="G60" i="16" s="1"/>
  <c r="I59" i="16"/>
  <c r="E59" i="16"/>
  <c r="F59" i="16" s="1"/>
  <c r="K58" i="16"/>
  <c r="I58" i="16"/>
  <c r="G58" i="16"/>
  <c r="H58" i="16" s="1"/>
  <c r="J58" i="16" s="1"/>
  <c r="F58" i="16"/>
  <c r="E58" i="16"/>
  <c r="I57" i="16"/>
  <c r="G57" i="16"/>
  <c r="H57" i="16" s="1"/>
  <c r="J57" i="16" s="1"/>
  <c r="K57" i="16" s="1"/>
  <c r="E57" i="16"/>
  <c r="F57" i="16" s="1"/>
  <c r="I56" i="16"/>
  <c r="E56" i="16"/>
  <c r="I55" i="16"/>
  <c r="G55" i="16"/>
  <c r="F55" i="16"/>
  <c r="E55" i="16"/>
  <c r="I54" i="16"/>
  <c r="G54" i="16"/>
  <c r="F54" i="16"/>
  <c r="H54" i="16" s="1"/>
  <c r="J54" i="16" s="1"/>
  <c r="E54" i="16"/>
  <c r="I53" i="16"/>
  <c r="E53" i="16"/>
  <c r="I52" i="16"/>
  <c r="F52" i="16"/>
  <c r="E52" i="16"/>
  <c r="G52" i="16" s="1"/>
  <c r="H52" i="16" s="1"/>
  <c r="I51" i="16"/>
  <c r="E51" i="16"/>
  <c r="F51" i="16" s="1"/>
  <c r="K50" i="16"/>
  <c r="I50" i="16"/>
  <c r="G50" i="16"/>
  <c r="H50" i="16" s="1"/>
  <c r="J50" i="16" s="1"/>
  <c r="F50" i="16"/>
  <c r="E50" i="16"/>
  <c r="I49" i="16"/>
  <c r="G49" i="16"/>
  <c r="H49" i="16" s="1"/>
  <c r="J49" i="16" s="1"/>
  <c r="K49" i="16" s="1"/>
  <c r="E49" i="16"/>
  <c r="F49" i="16" s="1"/>
  <c r="I48" i="16"/>
  <c r="E48" i="16"/>
  <c r="I47" i="16"/>
  <c r="F47" i="16"/>
  <c r="E47" i="16"/>
  <c r="G47" i="16" s="1"/>
  <c r="I46" i="16"/>
  <c r="G46" i="16"/>
  <c r="F46" i="16"/>
  <c r="H46" i="16" s="1"/>
  <c r="J46" i="16" s="1"/>
  <c r="E46" i="16"/>
  <c r="I45" i="16"/>
  <c r="E45" i="16"/>
  <c r="I44" i="16"/>
  <c r="F44" i="16"/>
  <c r="H44" i="16" s="1"/>
  <c r="E44" i="16"/>
  <c r="G44" i="16" s="1"/>
  <c r="I43" i="16"/>
  <c r="E43" i="16"/>
  <c r="F43" i="16" s="1"/>
  <c r="K42" i="16"/>
  <c r="I42" i="16"/>
  <c r="G42" i="16"/>
  <c r="H42" i="16" s="1"/>
  <c r="J42" i="16" s="1"/>
  <c r="F42" i="16"/>
  <c r="E42" i="16"/>
  <c r="M41" i="16"/>
  <c r="O41" i="16" s="1"/>
  <c r="I41" i="16"/>
  <c r="G41" i="16"/>
  <c r="H41" i="16" s="1"/>
  <c r="J41" i="16" s="1"/>
  <c r="K41" i="16" s="1"/>
  <c r="E41" i="16"/>
  <c r="F41" i="16" s="1"/>
  <c r="I40" i="16"/>
  <c r="E40" i="16"/>
  <c r="I39" i="16"/>
  <c r="G39" i="16"/>
  <c r="F39" i="16"/>
  <c r="E39" i="16"/>
  <c r="I38" i="16"/>
  <c r="G38" i="16"/>
  <c r="F38" i="16"/>
  <c r="H38" i="16" s="1"/>
  <c r="J38" i="16" s="1"/>
  <c r="E38" i="16"/>
  <c r="I37" i="16"/>
  <c r="E37" i="16"/>
  <c r="I36" i="16"/>
  <c r="F36" i="16"/>
  <c r="E36" i="16"/>
  <c r="G36" i="16" s="1"/>
  <c r="I35" i="16"/>
  <c r="E35" i="16"/>
  <c r="F35" i="16" s="1"/>
  <c r="I34" i="16"/>
  <c r="E34" i="16"/>
  <c r="F34" i="16" s="1"/>
  <c r="I33" i="16"/>
  <c r="F33" i="16"/>
  <c r="E33" i="16"/>
  <c r="G33" i="16" s="1"/>
  <c r="H33" i="16" s="1"/>
  <c r="J33" i="16" s="1"/>
  <c r="I32" i="16"/>
  <c r="G32" i="16"/>
  <c r="H32" i="16" s="1"/>
  <c r="J32" i="16" s="1"/>
  <c r="K32" i="16" s="1"/>
  <c r="E32" i="16"/>
  <c r="F32" i="16" s="1"/>
  <c r="I31" i="16"/>
  <c r="G31" i="16"/>
  <c r="F31" i="16"/>
  <c r="H31" i="16" s="1"/>
  <c r="J31" i="16" s="1"/>
  <c r="E31" i="16"/>
  <c r="I30" i="16"/>
  <c r="G30" i="16"/>
  <c r="H30" i="16" s="1"/>
  <c r="J30" i="16" s="1"/>
  <c r="K30" i="16" s="1"/>
  <c r="E30" i="16"/>
  <c r="F30" i="16" s="1"/>
  <c r="I29" i="16"/>
  <c r="F29" i="16"/>
  <c r="E29" i="16"/>
  <c r="G29" i="16" s="1"/>
  <c r="H29" i="16" s="1"/>
  <c r="J29" i="16" s="1"/>
  <c r="I28" i="16"/>
  <c r="E28" i="16"/>
  <c r="F28" i="16" s="1"/>
  <c r="I27" i="16"/>
  <c r="H27" i="16"/>
  <c r="J27" i="16" s="1"/>
  <c r="G27" i="16"/>
  <c r="F27" i="16"/>
  <c r="E27" i="16"/>
  <c r="I26" i="16"/>
  <c r="E26" i="16"/>
  <c r="F26" i="16" s="1"/>
  <c r="I25" i="16"/>
  <c r="H25" i="16"/>
  <c r="J25" i="16" s="1"/>
  <c r="F25" i="16"/>
  <c r="E25" i="16"/>
  <c r="G25" i="16" s="1"/>
  <c r="I24" i="16"/>
  <c r="E24" i="16"/>
  <c r="F24" i="16" s="1"/>
  <c r="I23" i="16"/>
  <c r="H23" i="16"/>
  <c r="J23" i="16" s="1"/>
  <c r="G23" i="16"/>
  <c r="F23" i="16"/>
  <c r="E23" i="16"/>
  <c r="I22" i="16"/>
  <c r="E22" i="16"/>
  <c r="F22" i="16" s="1"/>
  <c r="I21" i="16"/>
  <c r="E21" i="16"/>
  <c r="G21" i="16" s="1"/>
  <c r="I20" i="16"/>
  <c r="G20" i="16"/>
  <c r="E20" i="16"/>
  <c r="F20" i="16" s="1"/>
  <c r="I19" i="16"/>
  <c r="G19" i="16"/>
  <c r="H19" i="16" s="1"/>
  <c r="J19" i="16" s="1"/>
  <c r="F19" i="16"/>
  <c r="E19" i="16"/>
  <c r="I18" i="16"/>
  <c r="G18" i="16"/>
  <c r="H18" i="16" s="1"/>
  <c r="J18" i="16" s="1"/>
  <c r="E18" i="16"/>
  <c r="F18" i="16" s="1"/>
  <c r="I17" i="16"/>
  <c r="E17" i="16"/>
  <c r="G17" i="16" s="1"/>
  <c r="I16" i="16"/>
  <c r="E16" i="16"/>
  <c r="G16" i="16" s="1"/>
  <c r="I15" i="16"/>
  <c r="H15" i="16"/>
  <c r="J15" i="16" s="1"/>
  <c r="G15" i="16"/>
  <c r="F15" i="16"/>
  <c r="E15" i="16"/>
  <c r="I14" i="16"/>
  <c r="E14" i="16"/>
  <c r="F14" i="16" s="1"/>
  <c r="I13" i="16"/>
  <c r="F13" i="16"/>
  <c r="H13" i="16" s="1"/>
  <c r="J13" i="16" s="1"/>
  <c r="E13" i="16"/>
  <c r="G13" i="16" s="1"/>
  <c r="I12" i="16"/>
  <c r="E12" i="16"/>
  <c r="G12" i="16" s="1"/>
  <c r="I11" i="16"/>
  <c r="G11" i="16"/>
  <c r="H11" i="16" s="1"/>
  <c r="J11" i="16" s="1"/>
  <c r="F11" i="16"/>
  <c r="E11" i="16"/>
  <c r="I10" i="16"/>
  <c r="E10" i="16"/>
  <c r="F10" i="16" s="1"/>
  <c r="I9" i="16"/>
  <c r="E9" i="16"/>
  <c r="G9" i="16" s="1"/>
  <c r="I8" i="16"/>
  <c r="G8" i="16"/>
  <c r="F8" i="16"/>
  <c r="E8" i="16"/>
  <c r="I7" i="16"/>
  <c r="G7" i="16"/>
  <c r="H7" i="16" s="1"/>
  <c r="J7" i="16" s="1"/>
  <c r="F7" i="16"/>
  <c r="E7" i="16"/>
  <c r="I6" i="16"/>
  <c r="E6" i="16"/>
  <c r="F6" i="16" s="1"/>
  <c r="I5" i="16"/>
  <c r="E5" i="16"/>
  <c r="G5" i="16" s="1"/>
  <c r="I4" i="16"/>
  <c r="G4" i="16"/>
  <c r="E4" i="16"/>
  <c r="F4" i="16" s="1"/>
  <c r="I3" i="16"/>
  <c r="G3" i="16"/>
  <c r="F3" i="16"/>
  <c r="E3" i="16"/>
  <c r="A1" i="13"/>
  <c r="C18" i="13" l="1"/>
  <c r="F10" i="13"/>
  <c r="N17" i="13"/>
  <c r="F15" i="13"/>
  <c r="J28" i="13"/>
  <c r="K28" i="13" s="1"/>
  <c r="F14" i="13"/>
  <c r="J27" i="13"/>
  <c r="K27" i="13" s="1"/>
  <c r="J18" i="13"/>
  <c r="N27" i="13"/>
  <c r="O27" i="13" s="1"/>
  <c r="J15" i="13"/>
  <c r="N21" i="13"/>
  <c r="N25" i="13"/>
  <c r="O25" i="13" s="1"/>
  <c r="F18" i="13"/>
  <c r="N28" i="13"/>
  <c r="O28" i="13" s="1"/>
  <c r="J26" i="13"/>
  <c r="K26" i="13" s="1"/>
  <c r="J17" i="13"/>
  <c r="J25" i="13"/>
  <c r="K25" i="13" s="1"/>
  <c r="J24" i="13"/>
  <c r="K24" i="13" s="1"/>
  <c r="J14" i="13"/>
  <c r="J23" i="13"/>
  <c r="K23" i="13" s="1"/>
  <c r="F21" i="13"/>
  <c r="N26" i="13"/>
  <c r="O26" i="13" s="1"/>
  <c r="N19" i="13"/>
  <c r="O19" i="13" s="1"/>
  <c r="N18" i="13"/>
  <c r="N24" i="13"/>
  <c r="O24" i="13" s="1"/>
  <c r="J21" i="13"/>
  <c r="F17" i="13"/>
  <c r="F20" i="13"/>
  <c r="N23" i="13"/>
  <c r="O23" i="13" s="1"/>
  <c r="J20" i="13"/>
  <c r="F19" i="13"/>
  <c r="N15" i="13"/>
  <c r="J19" i="13"/>
  <c r="N9" i="13"/>
  <c r="N6" i="13" s="1"/>
  <c r="O6" i="13" s="1"/>
  <c r="O9" i="13" s="1"/>
  <c r="N5" i="13"/>
  <c r="J9" i="13"/>
  <c r="J6" i="13" s="1"/>
  <c r="K6" i="13" s="1"/>
  <c r="K9" i="13" s="1"/>
  <c r="J5" i="13"/>
  <c r="K5" i="13" s="1"/>
  <c r="K8" i="13" s="1"/>
  <c r="F5" i="13"/>
  <c r="G5" i="13" s="1"/>
  <c r="G8" i="13" s="1"/>
  <c r="N10" i="13"/>
  <c r="J10" i="13"/>
  <c r="F9" i="13"/>
  <c r="F6" i="13" s="1"/>
  <c r="G6" i="13" s="1"/>
  <c r="G9" i="13" s="1"/>
  <c r="K13" i="16"/>
  <c r="M13" i="16"/>
  <c r="O13" i="16" s="1"/>
  <c r="K25" i="16"/>
  <c r="M25" i="16"/>
  <c r="O25" i="16" s="1"/>
  <c r="K33" i="16"/>
  <c r="M33" i="16"/>
  <c r="O33" i="16" s="1"/>
  <c r="K62" i="16"/>
  <c r="M62" i="16"/>
  <c r="O62" i="16" s="1"/>
  <c r="K38" i="16"/>
  <c r="M38" i="16" s="1"/>
  <c r="O38" i="16" s="1"/>
  <c r="M18" i="16"/>
  <c r="O18" i="16" s="1"/>
  <c r="K18" i="16"/>
  <c r="M19" i="16"/>
  <c r="O19" i="16" s="1"/>
  <c r="K19" i="16"/>
  <c r="K23" i="16"/>
  <c r="M23" i="16" s="1"/>
  <c r="O23" i="16" s="1"/>
  <c r="K31" i="16"/>
  <c r="M31" i="16" s="1"/>
  <c r="O31" i="16" s="1"/>
  <c r="K7" i="16"/>
  <c r="M7" i="16" s="1"/>
  <c r="O7" i="16" s="1"/>
  <c r="M11" i="16"/>
  <c r="O11" i="16" s="1"/>
  <c r="K11" i="16"/>
  <c r="M15" i="16"/>
  <c r="O15" i="16" s="1"/>
  <c r="K15" i="16"/>
  <c r="H17" i="16"/>
  <c r="J17" i="16" s="1"/>
  <c r="K27" i="16"/>
  <c r="M27" i="16" s="1"/>
  <c r="O27" i="16" s="1"/>
  <c r="K29" i="16"/>
  <c r="M29" i="16" s="1"/>
  <c r="O29" i="16" s="1"/>
  <c r="K46" i="16"/>
  <c r="M46" i="16" s="1"/>
  <c r="O46" i="16" s="1"/>
  <c r="K54" i="16"/>
  <c r="M54" i="16" s="1"/>
  <c r="O54" i="16" s="1"/>
  <c r="M67" i="16"/>
  <c r="O67" i="16" s="1"/>
  <c r="K67" i="16"/>
  <c r="G6" i="16"/>
  <c r="H6" i="16" s="1"/>
  <c r="J6" i="16" s="1"/>
  <c r="H8" i="16"/>
  <c r="J8" i="16" s="1"/>
  <c r="F12" i="16"/>
  <c r="H12" i="16" s="1"/>
  <c r="J12" i="16" s="1"/>
  <c r="G22" i="16"/>
  <c r="H22" i="16" s="1"/>
  <c r="J22" i="16" s="1"/>
  <c r="G26" i="16"/>
  <c r="H26" i="16" s="1"/>
  <c r="J26" i="16" s="1"/>
  <c r="F5" i="16"/>
  <c r="H5" i="16" s="1"/>
  <c r="J5" i="16" s="1"/>
  <c r="G10" i="16"/>
  <c r="H10" i="16" s="1"/>
  <c r="J10" i="16" s="1"/>
  <c r="F16" i="16"/>
  <c r="H16" i="16" s="1"/>
  <c r="J16" i="16" s="1"/>
  <c r="F21" i="16"/>
  <c r="H21" i="16" s="1"/>
  <c r="J21" i="16" s="1"/>
  <c r="G24" i="16"/>
  <c r="H24" i="16" s="1"/>
  <c r="J24" i="16" s="1"/>
  <c r="M50" i="16"/>
  <c r="O50" i="16" s="1"/>
  <c r="G51" i="16"/>
  <c r="H51" i="16" s="1"/>
  <c r="J51" i="16" s="1"/>
  <c r="J52" i="16"/>
  <c r="F53" i="16"/>
  <c r="G53" i="16"/>
  <c r="H53" i="16" s="1"/>
  <c r="J53" i="16" s="1"/>
  <c r="M58" i="16"/>
  <c r="O58" i="16" s="1"/>
  <c r="G59" i="16"/>
  <c r="H59" i="16" s="1"/>
  <c r="J59" i="16" s="1"/>
  <c r="F61" i="16"/>
  <c r="G61" i="16"/>
  <c r="H61" i="16" s="1"/>
  <c r="J61" i="16" s="1"/>
  <c r="M83" i="16"/>
  <c r="O83" i="16" s="1"/>
  <c r="K83" i="16"/>
  <c r="M86" i="16"/>
  <c r="O86" i="16" s="1"/>
  <c r="G89" i="16"/>
  <c r="F89" i="16"/>
  <c r="K91" i="16"/>
  <c r="M91" i="16" s="1"/>
  <c r="O91" i="16" s="1"/>
  <c r="K94" i="16"/>
  <c r="M94" i="16" s="1"/>
  <c r="O94" i="16" s="1"/>
  <c r="M98" i="16"/>
  <c r="O98" i="16" s="1"/>
  <c r="K109" i="16"/>
  <c r="M109" i="16" s="1"/>
  <c r="O109" i="16" s="1"/>
  <c r="F130" i="16"/>
  <c r="G130" i="16"/>
  <c r="F9" i="16"/>
  <c r="H9" i="16" s="1"/>
  <c r="J9" i="16" s="1"/>
  <c r="G14" i="16"/>
  <c r="H14" i="16" s="1"/>
  <c r="J14" i="16" s="1"/>
  <c r="G34" i="16"/>
  <c r="H34" i="16" s="1"/>
  <c r="J34" i="16" s="1"/>
  <c r="G35" i="16"/>
  <c r="H35" i="16" s="1"/>
  <c r="J35" i="16" s="1"/>
  <c r="H36" i="16"/>
  <c r="J36" i="16" s="1"/>
  <c r="F37" i="16"/>
  <c r="G37" i="16"/>
  <c r="H37" i="16" s="1"/>
  <c r="J37" i="16" s="1"/>
  <c r="M42" i="16"/>
  <c r="O42" i="16" s="1"/>
  <c r="G43" i="16"/>
  <c r="H43" i="16" s="1"/>
  <c r="J43" i="16" s="1"/>
  <c r="F45" i="16"/>
  <c r="G45" i="16"/>
  <c r="H45" i="16" s="1"/>
  <c r="J45" i="16" s="1"/>
  <c r="H47" i="16"/>
  <c r="J47" i="16" s="1"/>
  <c r="G48" i="16"/>
  <c r="H48" i="16" s="1"/>
  <c r="J48" i="16" s="1"/>
  <c r="F48" i="16"/>
  <c r="M49" i="16"/>
  <c r="O49" i="16" s="1"/>
  <c r="G56" i="16"/>
  <c r="F56" i="16"/>
  <c r="M57" i="16"/>
  <c r="O57" i="16" s="1"/>
  <c r="J60" i="16"/>
  <c r="G65" i="16"/>
  <c r="F65" i="16"/>
  <c r="M70" i="16"/>
  <c r="O70" i="16" s="1"/>
  <c r="M99" i="16"/>
  <c r="O99" i="16" s="1"/>
  <c r="K99" i="16"/>
  <c r="M108" i="16"/>
  <c r="O108" i="16" s="1"/>
  <c r="K108" i="16"/>
  <c r="M114" i="16"/>
  <c r="O114" i="16" s="1"/>
  <c r="K114" i="16"/>
  <c r="M115" i="16"/>
  <c r="O115" i="16" s="1"/>
  <c r="K115" i="16"/>
  <c r="M123" i="16"/>
  <c r="O123" i="16" s="1"/>
  <c r="K123" i="16"/>
  <c r="K127" i="16"/>
  <c r="M127" i="16" s="1"/>
  <c r="O127" i="16" s="1"/>
  <c r="K137" i="16"/>
  <c r="M137" i="16" s="1"/>
  <c r="O137" i="16" s="1"/>
  <c r="M152" i="16"/>
  <c r="O152" i="16" s="1"/>
  <c r="K152" i="16"/>
  <c r="H20" i="16"/>
  <c r="J20" i="16" s="1"/>
  <c r="M30" i="16"/>
  <c r="O30" i="16" s="1"/>
  <c r="M32" i="16"/>
  <c r="O32" i="16" s="1"/>
  <c r="G40" i="16"/>
  <c r="F40" i="16"/>
  <c r="J44" i="16"/>
  <c r="G68" i="16"/>
  <c r="H68" i="16" s="1"/>
  <c r="J68" i="16" s="1"/>
  <c r="F68" i="16"/>
  <c r="G84" i="16"/>
  <c r="H84" i="16" s="1"/>
  <c r="J84" i="16" s="1"/>
  <c r="F84" i="16"/>
  <c r="M90" i="16"/>
  <c r="O90" i="16" s="1"/>
  <c r="K90" i="16"/>
  <c r="K101" i="16"/>
  <c r="M101" i="16" s="1"/>
  <c r="O101" i="16" s="1"/>
  <c r="M111" i="16"/>
  <c r="O111" i="16" s="1"/>
  <c r="K111" i="16"/>
  <c r="K149" i="16"/>
  <c r="M149" i="16" s="1"/>
  <c r="O149" i="16" s="1"/>
  <c r="H4" i="16"/>
  <c r="J4" i="16" s="1"/>
  <c r="H3" i="16"/>
  <c r="F17" i="16"/>
  <c r="G28" i="16"/>
  <c r="H28" i="16" s="1"/>
  <c r="J28" i="16" s="1"/>
  <c r="G73" i="16"/>
  <c r="F73" i="16"/>
  <c r="K75" i="16"/>
  <c r="M75" i="16" s="1"/>
  <c r="O75" i="16" s="1"/>
  <c r="K78" i="16"/>
  <c r="M78" i="16" s="1"/>
  <c r="O78" i="16" s="1"/>
  <c r="K100" i="16"/>
  <c r="M100" i="16" s="1"/>
  <c r="O100" i="16" s="1"/>
  <c r="K121" i="16"/>
  <c r="M121" i="16"/>
  <c r="O121" i="16" s="1"/>
  <c r="K131" i="16"/>
  <c r="M131" i="16" s="1"/>
  <c r="O131" i="16" s="1"/>
  <c r="K139" i="16"/>
  <c r="M139" i="16" s="1"/>
  <c r="O139" i="16" s="1"/>
  <c r="K143" i="16"/>
  <c r="M143" i="16"/>
  <c r="O143" i="16" s="1"/>
  <c r="H63" i="16"/>
  <c r="J63" i="16" s="1"/>
  <c r="H64" i="16"/>
  <c r="J64" i="16" s="1"/>
  <c r="H71" i="16"/>
  <c r="J71" i="16" s="1"/>
  <c r="H72" i="16"/>
  <c r="J72" i="16" s="1"/>
  <c r="H79" i="16"/>
  <c r="J79" i="16" s="1"/>
  <c r="H80" i="16"/>
  <c r="J80" i="16" s="1"/>
  <c r="G85" i="16"/>
  <c r="F85" i="16"/>
  <c r="H95" i="16"/>
  <c r="J95" i="16" s="1"/>
  <c r="H96" i="16"/>
  <c r="J96" i="16" s="1"/>
  <c r="M103" i="16"/>
  <c r="O103" i="16" s="1"/>
  <c r="M128" i="16"/>
  <c r="O128" i="16" s="1"/>
  <c r="K128" i="16"/>
  <c r="M144" i="16"/>
  <c r="O144" i="16" s="1"/>
  <c r="K144" i="16"/>
  <c r="J146" i="16"/>
  <c r="K147" i="16"/>
  <c r="M147" i="16" s="1"/>
  <c r="O147" i="16" s="1"/>
  <c r="G81" i="16"/>
  <c r="F81" i="16"/>
  <c r="G97" i="16"/>
  <c r="H97" i="16" s="1"/>
  <c r="J97" i="16" s="1"/>
  <c r="F97" i="16"/>
  <c r="G105" i="16"/>
  <c r="H105" i="16" s="1"/>
  <c r="J105" i="16" s="1"/>
  <c r="F105" i="16"/>
  <c r="F110" i="16"/>
  <c r="G110" i="16"/>
  <c r="M116" i="16"/>
  <c r="O116" i="16" s="1"/>
  <c r="K116" i="16"/>
  <c r="F122" i="16"/>
  <c r="G122" i="16"/>
  <c r="K129" i="16"/>
  <c r="M129" i="16" s="1"/>
  <c r="O129" i="16" s="1"/>
  <c r="F138" i="16"/>
  <c r="G138" i="16"/>
  <c r="K155" i="16"/>
  <c r="M155" i="16" s="1"/>
  <c r="O155" i="16" s="1"/>
  <c r="H39" i="16"/>
  <c r="J39" i="16" s="1"/>
  <c r="H55" i="16"/>
  <c r="J55" i="16" s="1"/>
  <c r="G69" i="16"/>
  <c r="H69" i="16" s="1"/>
  <c r="J69" i="16" s="1"/>
  <c r="F69" i="16"/>
  <c r="F76" i="16"/>
  <c r="H76" i="16" s="1"/>
  <c r="J76" i="16" s="1"/>
  <c r="G77" i="16"/>
  <c r="F77" i="16"/>
  <c r="H87" i="16"/>
  <c r="J87" i="16" s="1"/>
  <c r="H88" i="16"/>
  <c r="J88" i="16" s="1"/>
  <c r="F92" i="16"/>
  <c r="H92" i="16" s="1"/>
  <c r="J92" i="16" s="1"/>
  <c r="G93" i="16"/>
  <c r="H93" i="16" s="1"/>
  <c r="J93" i="16" s="1"/>
  <c r="F93" i="16"/>
  <c r="M107" i="16"/>
  <c r="O107" i="16" s="1"/>
  <c r="H117" i="16"/>
  <c r="J117" i="16" s="1"/>
  <c r="M120" i="16"/>
  <c r="O120" i="16" s="1"/>
  <c r="K120" i="16"/>
  <c r="M136" i="16"/>
  <c r="O136" i="16" s="1"/>
  <c r="K136" i="16"/>
  <c r="M148" i="16"/>
  <c r="O148" i="16" s="1"/>
  <c r="K148" i="16"/>
  <c r="M151" i="16"/>
  <c r="O151" i="16" s="1"/>
  <c r="H112" i="16"/>
  <c r="J112" i="16" s="1"/>
  <c r="G102" i="16"/>
  <c r="H102" i="16" s="1"/>
  <c r="J102" i="16" s="1"/>
  <c r="H104" i="16"/>
  <c r="J104" i="16" s="1"/>
  <c r="F113" i="16"/>
  <c r="H113" i="16" s="1"/>
  <c r="J113" i="16" s="1"/>
  <c r="G118" i="16"/>
  <c r="H118" i="16" s="1"/>
  <c r="J118" i="16" s="1"/>
  <c r="M124" i="16"/>
  <c r="O124" i="16" s="1"/>
  <c r="G126" i="16"/>
  <c r="H126" i="16" s="1"/>
  <c r="J126" i="16" s="1"/>
  <c r="M132" i="16"/>
  <c r="O132" i="16" s="1"/>
  <c r="G134" i="16"/>
  <c r="H134" i="16" s="1"/>
  <c r="J134" i="16" s="1"/>
  <c r="M140" i="16"/>
  <c r="O140" i="16" s="1"/>
  <c r="G142" i="16"/>
  <c r="H142" i="16" s="1"/>
  <c r="J142" i="16" s="1"/>
  <c r="K19" i="13" l="1"/>
  <c r="J29" i="13"/>
  <c r="G18" i="13"/>
  <c r="I18" i="13" s="1"/>
  <c r="G19" i="13"/>
  <c r="F29" i="13"/>
  <c r="K18" i="13"/>
  <c r="M18" i="13" s="1"/>
  <c r="O5" i="13"/>
  <c r="O8" i="13" s="1"/>
  <c r="O18" i="13" s="1"/>
  <c r="N14" i="13"/>
  <c r="K76" i="16"/>
  <c r="M76" i="16" s="1"/>
  <c r="O76" i="16" s="1"/>
  <c r="K12" i="16"/>
  <c r="M12" i="16" s="1"/>
  <c r="O12" i="16" s="1"/>
  <c r="K5" i="16"/>
  <c r="M5" i="16"/>
  <c r="O5" i="16" s="1"/>
  <c r="K21" i="16"/>
  <c r="M21" i="16"/>
  <c r="O21" i="16" s="1"/>
  <c r="K92" i="16"/>
  <c r="M92" i="16" s="1"/>
  <c r="O92" i="16" s="1"/>
  <c r="K16" i="16"/>
  <c r="M16" i="16" s="1"/>
  <c r="O16" i="16" s="1"/>
  <c r="K88" i="16"/>
  <c r="M88" i="16" s="1"/>
  <c r="O88" i="16" s="1"/>
  <c r="K39" i="16"/>
  <c r="M39" i="16" s="1"/>
  <c r="O39" i="16" s="1"/>
  <c r="K97" i="16"/>
  <c r="M97" i="16"/>
  <c r="O97" i="16" s="1"/>
  <c r="K96" i="16"/>
  <c r="M96" i="16" s="1"/>
  <c r="O96" i="16" s="1"/>
  <c r="K80" i="16"/>
  <c r="M80" i="16" s="1"/>
  <c r="O80" i="16" s="1"/>
  <c r="K64" i="16"/>
  <c r="M64" i="16" s="1"/>
  <c r="O64" i="16" s="1"/>
  <c r="J3" i="16"/>
  <c r="K84" i="16"/>
  <c r="M84" i="16" s="1"/>
  <c r="O84" i="16" s="1"/>
  <c r="K20" i="16"/>
  <c r="M20" i="16" s="1"/>
  <c r="O20" i="16" s="1"/>
  <c r="K60" i="16"/>
  <c r="M60" i="16"/>
  <c r="O60" i="16" s="1"/>
  <c r="K45" i="16"/>
  <c r="M45" i="16" s="1"/>
  <c r="O45" i="16" s="1"/>
  <c r="K37" i="16"/>
  <c r="M37" i="16" s="1"/>
  <c r="O37" i="16" s="1"/>
  <c r="K34" i="16"/>
  <c r="M34" i="16" s="1"/>
  <c r="O34" i="16" s="1"/>
  <c r="K59" i="16"/>
  <c r="M59" i="16" s="1"/>
  <c r="O59" i="16" s="1"/>
  <c r="K52" i="16"/>
  <c r="M52" i="16"/>
  <c r="O52" i="16" s="1"/>
  <c r="K26" i="16"/>
  <c r="M26" i="16" s="1"/>
  <c r="O26" i="16" s="1"/>
  <c r="K6" i="16"/>
  <c r="M6" i="16" s="1"/>
  <c r="O6" i="16" s="1"/>
  <c r="K17" i="16"/>
  <c r="M17" i="16"/>
  <c r="O17" i="16" s="1"/>
  <c r="K142" i="16"/>
  <c r="M142" i="16" s="1"/>
  <c r="O142" i="16" s="1"/>
  <c r="K126" i="16"/>
  <c r="M126" i="16" s="1"/>
  <c r="O126" i="16" s="1"/>
  <c r="K104" i="16"/>
  <c r="M104" i="16" s="1"/>
  <c r="O104" i="16" s="1"/>
  <c r="K87" i="16"/>
  <c r="M87" i="16" s="1"/>
  <c r="O87" i="16" s="1"/>
  <c r="K95" i="16"/>
  <c r="M95" i="16" s="1"/>
  <c r="O95" i="16" s="1"/>
  <c r="K79" i="16"/>
  <c r="M79" i="16" s="1"/>
  <c r="O79" i="16" s="1"/>
  <c r="K63" i="16"/>
  <c r="M63" i="16" s="1"/>
  <c r="O63" i="16" s="1"/>
  <c r="H73" i="16"/>
  <c r="J73" i="16" s="1"/>
  <c r="M4" i="16"/>
  <c r="O4" i="16" s="1"/>
  <c r="K4" i="16"/>
  <c r="H40" i="16"/>
  <c r="J40" i="16" s="1"/>
  <c r="K14" i="16"/>
  <c r="M14" i="16" s="1"/>
  <c r="O14" i="16" s="1"/>
  <c r="H89" i="16"/>
  <c r="J89" i="16" s="1"/>
  <c r="M51" i="16"/>
  <c r="O51" i="16" s="1"/>
  <c r="K51" i="16"/>
  <c r="M22" i="16"/>
  <c r="O22" i="16" s="1"/>
  <c r="K22" i="16"/>
  <c r="K113" i="16"/>
  <c r="M113" i="16" s="1"/>
  <c r="O113" i="16" s="1"/>
  <c r="K69" i="16"/>
  <c r="M69" i="16" s="1"/>
  <c r="O69" i="16" s="1"/>
  <c r="M146" i="16"/>
  <c r="O146" i="16" s="1"/>
  <c r="K146" i="16"/>
  <c r="M72" i="16"/>
  <c r="O72" i="16" s="1"/>
  <c r="K72" i="16"/>
  <c r="G153" i="16"/>
  <c r="K48" i="16"/>
  <c r="M48" i="16"/>
  <c r="O48" i="16" s="1"/>
  <c r="K36" i="16"/>
  <c r="M36" i="16"/>
  <c r="O36" i="16" s="1"/>
  <c r="K102" i="16"/>
  <c r="M102" i="16" s="1"/>
  <c r="O102" i="16" s="1"/>
  <c r="K93" i="16"/>
  <c r="M93" i="16"/>
  <c r="O93" i="16" s="1"/>
  <c r="K105" i="16"/>
  <c r="M105" i="16"/>
  <c r="O105" i="16" s="1"/>
  <c r="K28" i="16"/>
  <c r="M28" i="16" s="1"/>
  <c r="O28" i="16" s="1"/>
  <c r="K68" i="16"/>
  <c r="M68" i="16" s="1"/>
  <c r="O68" i="16" s="1"/>
  <c r="K43" i="16"/>
  <c r="M43" i="16" s="1"/>
  <c r="O43" i="16" s="1"/>
  <c r="K9" i="16"/>
  <c r="M9" i="16"/>
  <c r="O9" i="16" s="1"/>
  <c r="K61" i="16"/>
  <c r="M61" i="16" s="1"/>
  <c r="O61" i="16" s="1"/>
  <c r="K53" i="16"/>
  <c r="M53" i="16" s="1"/>
  <c r="O53" i="16" s="1"/>
  <c r="K10" i="16"/>
  <c r="M10" i="16" s="1"/>
  <c r="O10" i="16" s="1"/>
  <c r="K134" i="16"/>
  <c r="M134" i="16" s="1"/>
  <c r="O134" i="16" s="1"/>
  <c r="K118" i="16"/>
  <c r="M118" i="16" s="1"/>
  <c r="O118" i="16" s="1"/>
  <c r="K112" i="16"/>
  <c r="M112" i="16" s="1"/>
  <c r="O112" i="16" s="1"/>
  <c r="K117" i="16"/>
  <c r="M117" i="16"/>
  <c r="O117" i="16" s="1"/>
  <c r="H77" i="16"/>
  <c r="J77" i="16" s="1"/>
  <c r="M55" i="16"/>
  <c r="O55" i="16" s="1"/>
  <c r="K55" i="16"/>
  <c r="H138" i="16"/>
  <c r="J138" i="16" s="1"/>
  <c r="H122" i="16"/>
  <c r="J122" i="16" s="1"/>
  <c r="H110" i="16"/>
  <c r="J110" i="16" s="1"/>
  <c r="H81" i="16"/>
  <c r="J81" i="16" s="1"/>
  <c r="H85" i="16"/>
  <c r="J85" i="16" s="1"/>
  <c r="K71" i="16"/>
  <c r="M71" i="16" s="1"/>
  <c r="O71" i="16" s="1"/>
  <c r="K44" i="16"/>
  <c r="M44" i="16"/>
  <c r="O44" i="16" s="1"/>
  <c r="H65" i="16"/>
  <c r="J65" i="16" s="1"/>
  <c r="H56" i="16"/>
  <c r="J56" i="16" s="1"/>
  <c r="K47" i="16"/>
  <c r="M47" i="16" s="1"/>
  <c r="O47" i="16" s="1"/>
  <c r="K35" i="16"/>
  <c r="M35" i="16" s="1"/>
  <c r="O35" i="16" s="1"/>
  <c r="H130" i="16"/>
  <c r="J130" i="16" s="1"/>
  <c r="M24" i="16"/>
  <c r="O24" i="16" s="1"/>
  <c r="K24" i="16"/>
  <c r="M8" i="16"/>
  <c r="O8" i="16" s="1"/>
  <c r="K8" i="16"/>
  <c r="H18" i="13" l="1"/>
  <c r="G21" i="13"/>
  <c r="I21" i="13" s="1"/>
  <c r="L18" i="13"/>
  <c r="K21" i="13"/>
  <c r="K29" i="13" s="1"/>
  <c r="M29" i="13" s="1"/>
  <c r="O21" i="13"/>
  <c r="Q18" i="13"/>
  <c r="P18" i="13"/>
  <c r="K138" i="16"/>
  <c r="M138" i="16" s="1"/>
  <c r="O138" i="16" s="1"/>
  <c r="K40" i="16"/>
  <c r="M40" i="16"/>
  <c r="O40" i="16" s="1"/>
  <c r="K56" i="16"/>
  <c r="M56" i="16"/>
  <c r="O56" i="16" s="1"/>
  <c r="K110" i="16"/>
  <c r="M110" i="16" s="1"/>
  <c r="O110" i="16" s="1"/>
  <c r="K65" i="16"/>
  <c r="M65" i="16"/>
  <c r="O65" i="16" s="1"/>
  <c r="K122" i="16"/>
  <c r="M122" i="16" s="1"/>
  <c r="O122" i="16" s="1"/>
  <c r="K77" i="16"/>
  <c r="M77" i="16"/>
  <c r="O77" i="16" s="1"/>
  <c r="K73" i="16"/>
  <c r="M73" i="16"/>
  <c r="O73" i="16" s="1"/>
  <c r="K85" i="16"/>
  <c r="M85" i="16"/>
  <c r="O85" i="16" s="1"/>
  <c r="K3" i="16"/>
  <c r="M3" i="16" s="1"/>
  <c r="K130" i="16"/>
  <c r="M130" i="16" s="1"/>
  <c r="O130" i="16" s="1"/>
  <c r="K81" i="16"/>
  <c r="M81" i="16"/>
  <c r="O81" i="16" s="1"/>
  <c r="K89" i="16"/>
  <c r="M89" i="16"/>
  <c r="O89" i="16" s="1"/>
  <c r="H153" i="16"/>
  <c r="G29" i="13" l="1"/>
  <c r="I29" i="13" s="1"/>
  <c r="H21" i="13"/>
  <c r="L29" i="13"/>
  <c r="M21" i="13"/>
  <c r="L21" i="13"/>
  <c r="Q21" i="13"/>
  <c r="P21" i="13"/>
  <c r="M153" i="16"/>
  <c r="O3" i="16"/>
  <c r="O153" i="16" s="1"/>
  <c r="H29" i="13" l="1"/>
  <c r="I154" i="15"/>
  <c r="H154" i="15"/>
  <c r="G154" i="15"/>
  <c r="F154" i="15"/>
  <c r="E154" i="15"/>
  <c r="D154" i="15"/>
  <c r="K159" i="14"/>
  <c r="M159" i="14" s="1"/>
  <c r="K158" i="14"/>
  <c r="M158" i="14" s="1"/>
  <c r="K157" i="14"/>
  <c r="J153" i="14"/>
  <c r="I153" i="14"/>
  <c r="H153" i="14"/>
  <c r="G153" i="14"/>
  <c r="F153" i="14"/>
  <c r="E153" i="14"/>
  <c r="L151" i="14"/>
  <c r="J151" i="14"/>
  <c r="I151" i="14"/>
  <c r="H151" i="14"/>
  <c r="G151" i="14"/>
  <c r="F151" i="14"/>
  <c r="E151" i="14"/>
  <c r="K149" i="14"/>
  <c r="M149" i="14" s="1"/>
  <c r="K148" i="14"/>
  <c r="M148" i="14" s="1"/>
  <c r="K147" i="14"/>
  <c r="M147" i="14" s="1"/>
  <c r="K146" i="14"/>
  <c r="M146" i="14" s="1"/>
  <c r="K145" i="14"/>
  <c r="M145" i="14" s="1"/>
  <c r="K144" i="14"/>
  <c r="M144" i="14" s="1"/>
  <c r="K143" i="14"/>
  <c r="M143" i="14" s="1"/>
  <c r="K142" i="14"/>
  <c r="M142" i="14" s="1"/>
  <c r="M140" i="14"/>
  <c r="K140" i="14"/>
  <c r="K139" i="14"/>
  <c r="M139" i="14" s="1"/>
  <c r="K138" i="14"/>
  <c r="M138" i="14" s="1"/>
  <c r="K137" i="14"/>
  <c r="M137" i="14" s="1"/>
  <c r="K136" i="14"/>
  <c r="M136" i="14" s="1"/>
  <c r="K135" i="14"/>
  <c r="M135" i="14" s="1"/>
  <c r="K133" i="14"/>
  <c r="M133" i="14" s="1"/>
  <c r="K132" i="14"/>
  <c r="M132" i="14" s="1"/>
  <c r="K131" i="14"/>
  <c r="M131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4" i="14"/>
  <c r="M124" i="14" s="1"/>
  <c r="K123" i="14"/>
  <c r="M123" i="14" s="1"/>
  <c r="M122" i="14"/>
  <c r="K122" i="14"/>
  <c r="K121" i="14"/>
  <c r="M121" i="14" s="1"/>
  <c r="K120" i="14"/>
  <c r="M120" i="14" s="1"/>
  <c r="K119" i="14"/>
  <c r="M119" i="14" s="1"/>
  <c r="K118" i="14"/>
  <c r="M118" i="14" s="1"/>
  <c r="K117" i="14"/>
  <c r="M117" i="14" s="1"/>
  <c r="K116" i="14"/>
  <c r="M116" i="14" s="1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4" i="14"/>
  <c r="M104" i="14" s="1"/>
  <c r="K103" i="14"/>
  <c r="M103" i="14" s="1"/>
  <c r="K102" i="14"/>
  <c r="M102" i="14" s="1"/>
  <c r="K101" i="14"/>
  <c r="M101" i="14" s="1"/>
  <c r="K100" i="14"/>
  <c r="M100" i="14" s="1"/>
  <c r="K99" i="14"/>
  <c r="M99" i="14" s="1"/>
  <c r="K97" i="14"/>
  <c r="M97" i="14" s="1"/>
  <c r="K95" i="14"/>
  <c r="M95" i="14" s="1"/>
  <c r="K94" i="14"/>
  <c r="M94" i="14" s="1"/>
  <c r="K93" i="14"/>
  <c r="M93" i="14" s="1"/>
  <c r="K92" i="14"/>
  <c r="M92" i="14" s="1"/>
  <c r="K91" i="14"/>
  <c r="M91" i="14" s="1"/>
  <c r="K90" i="14"/>
  <c r="M90" i="14" s="1"/>
  <c r="K89" i="14"/>
  <c r="M89" i="14" s="1"/>
  <c r="K88" i="14"/>
  <c r="M88" i="14" s="1"/>
  <c r="K87" i="14"/>
  <c r="M87" i="14" s="1"/>
  <c r="K85" i="14"/>
  <c r="M85" i="14" s="1"/>
  <c r="K84" i="14"/>
  <c r="M84" i="14" s="1"/>
  <c r="K83" i="14"/>
  <c r="M83" i="14" s="1"/>
  <c r="K82" i="14"/>
  <c r="M82" i="14" s="1"/>
  <c r="K81" i="14"/>
  <c r="M81" i="14" s="1"/>
  <c r="K79" i="14"/>
  <c r="M79" i="14" s="1"/>
  <c r="K78" i="14"/>
  <c r="M78" i="14" s="1"/>
  <c r="K77" i="14"/>
  <c r="M77" i="14" s="1"/>
  <c r="K76" i="14"/>
  <c r="M76" i="14" s="1"/>
  <c r="K75" i="14"/>
  <c r="M75" i="14" s="1"/>
  <c r="K74" i="14"/>
  <c r="M74" i="14" s="1"/>
  <c r="K73" i="14"/>
  <c r="M73" i="14" s="1"/>
  <c r="K72" i="14"/>
  <c r="M72" i="14" s="1"/>
  <c r="K71" i="14"/>
  <c r="M71" i="14" s="1"/>
  <c r="K70" i="14"/>
  <c r="M70" i="14" s="1"/>
  <c r="K69" i="14"/>
  <c r="M69" i="14" s="1"/>
  <c r="K68" i="14"/>
  <c r="M68" i="14" s="1"/>
  <c r="K67" i="14"/>
  <c r="M67" i="14" s="1"/>
  <c r="K66" i="14"/>
  <c r="M66" i="14" s="1"/>
  <c r="K65" i="14"/>
  <c r="M65" i="14" s="1"/>
  <c r="K64" i="14"/>
  <c r="M64" i="14" s="1"/>
  <c r="K63" i="14"/>
  <c r="M63" i="14" s="1"/>
  <c r="K61" i="14"/>
  <c r="M61" i="14" s="1"/>
  <c r="K60" i="14"/>
  <c r="M60" i="14" s="1"/>
  <c r="K59" i="14"/>
  <c r="M59" i="14" s="1"/>
  <c r="K58" i="14"/>
  <c r="M58" i="14" s="1"/>
  <c r="K57" i="14"/>
  <c r="M57" i="14" s="1"/>
  <c r="K56" i="14"/>
  <c r="M56" i="14" s="1"/>
  <c r="K55" i="14"/>
  <c r="M55" i="14" s="1"/>
  <c r="K54" i="14"/>
  <c r="M54" i="14" s="1"/>
  <c r="K53" i="14"/>
  <c r="M53" i="14" s="1"/>
  <c r="K52" i="14"/>
  <c r="M52" i="14" s="1"/>
  <c r="K51" i="14"/>
  <c r="M51" i="14" s="1"/>
  <c r="K50" i="14"/>
  <c r="M50" i="14" s="1"/>
  <c r="K49" i="14"/>
  <c r="M49" i="14" s="1"/>
  <c r="K47" i="14"/>
  <c r="M47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K40" i="14"/>
  <c r="M40" i="14" s="1"/>
  <c r="K39" i="14"/>
  <c r="M39" i="14" s="1"/>
  <c r="K37" i="14"/>
  <c r="M37" i="14" s="1"/>
  <c r="K36" i="14"/>
  <c r="M36" i="14" s="1"/>
  <c r="K35" i="14"/>
  <c r="M35" i="14" s="1"/>
  <c r="K34" i="14"/>
  <c r="M34" i="14" s="1"/>
  <c r="K33" i="14"/>
  <c r="M33" i="14" s="1"/>
  <c r="K32" i="14"/>
  <c r="M32" i="14" s="1"/>
  <c r="K31" i="14"/>
  <c r="M31" i="14" s="1"/>
  <c r="K29" i="14"/>
  <c r="M29" i="14" s="1"/>
  <c r="K28" i="14"/>
  <c r="M28" i="14" s="1"/>
  <c r="K27" i="14"/>
  <c r="M27" i="14" s="1"/>
  <c r="K26" i="14"/>
  <c r="K25" i="14"/>
  <c r="M25" i="14" s="1"/>
  <c r="K24" i="14"/>
  <c r="M24" i="14" s="1"/>
  <c r="K23" i="14"/>
  <c r="M23" i="14" s="1"/>
  <c r="K22" i="14"/>
  <c r="M22" i="14" s="1"/>
  <c r="K21" i="14"/>
  <c r="M21" i="14" s="1"/>
  <c r="K20" i="14"/>
  <c r="M20" i="14" s="1"/>
  <c r="K19" i="14"/>
  <c r="M19" i="14" s="1"/>
  <c r="K18" i="14"/>
  <c r="M18" i="14" s="1"/>
  <c r="K17" i="14"/>
  <c r="M17" i="14" s="1"/>
  <c r="K16" i="14"/>
  <c r="M16" i="14" s="1"/>
  <c r="K15" i="14"/>
  <c r="M15" i="14" s="1"/>
  <c r="K14" i="14"/>
  <c r="M14" i="14" s="1"/>
  <c r="K13" i="14"/>
  <c r="M13" i="14" s="1"/>
  <c r="K12" i="14"/>
  <c r="M12" i="14" s="1"/>
  <c r="K11" i="14"/>
  <c r="M11" i="14" s="1"/>
  <c r="K10" i="14"/>
  <c r="M10" i="14" s="1"/>
  <c r="K9" i="14"/>
  <c r="M9" i="14" s="1"/>
  <c r="K8" i="14"/>
  <c r="M8" i="14" s="1"/>
  <c r="K7" i="14"/>
  <c r="M7" i="14" s="1"/>
  <c r="K6" i="14"/>
  <c r="M6" i="14" s="1"/>
  <c r="K5" i="14"/>
  <c r="M5" i="14" s="1"/>
  <c r="K4" i="14"/>
  <c r="M4" i="14" s="1"/>
  <c r="K134" i="14"/>
  <c r="M134" i="14" s="1"/>
  <c r="K30" i="14"/>
  <c r="M30" i="14" s="1"/>
  <c r="K96" i="14"/>
  <c r="M96" i="14" s="1"/>
  <c r="K80" i="14"/>
  <c r="M80" i="14" s="1"/>
  <c r="K48" i="14"/>
  <c r="M48" i="14" s="1"/>
  <c r="K130" i="14"/>
  <c r="M130" i="14" s="1"/>
  <c r="K86" i="14"/>
  <c r="M86" i="14" s="1"/>
  <c r="K98" i="14"/>
  <c r="M98" i="14" s="1"/>
  <c r="K141" i="14"/>
  <c r="M141" i="14" s="1"/>
  <c r="K62" i="14"/>
  <c r="M62" i="14" s="1"/>
  <c r="K38" i="14"/>
  <c r="M38" i="14" s="1"/>
  <c r="K160" i="14" l="1"/>
  <c r="M157" i="14"/>
  <c r="G155" i="15"/>
  <c r="F155" i="15"/>
  <c r="H155" i="15"/>
  <c r="D155" i="15"/>
  <c r="E155" i="15"/>
  <c r="I155" i="15"/>
  <c r="M26" i="14"/>
  <c r="K151" i="14"/>
  <c r="G152" i="14" l="1"/>
  <c r="E152" i="14"/>
  <c r="M151" i="14"/>
  <c r="J152" i="14"/>
  <c r="F152" i="14"/>
  <c r="I152" i="14"/>
  <c r="H152" i="14"/>
  <c r="N87" i="14" l="1"/>
  <c r="N99" i="14"/>
  <c r="N103" i="14"/>
  <c r="N127" i="14"/>
  <c r="N135" i="14"/>
  <c r="N139" i="14"/>
  <c r="N143" i="14"/>
  <c r="N147" i="14"/>
  <c r="N20" i="14"/>
  <c r="N28" i="14"/>
  <c r="N32" i="14"/>
  <c r="N40" i="14"/>
  <c r="N44" i="14"/>
  <c r="N24" i="14"/>
  <c r="N60" i="14"/>
  <c r="N76" i="14"/>
  <c r="N92" i="14"/>
  <c r="N108" i="14"/>
  <c r="N124" i="14"/>
  <c r="N16" i="14"/>
  <c r="N64" i="14"/>
  <c r="N80" i="14"/>
  <c r="N96" i="14"/>
  <c r="N112" i="14"/>
  <c r="N128" i="14"/>
  <c r="N144" i="14"/>
  <c r="N5" i="14"/>
  <c r="N52" i="14"/>
  <c r="N68" i="14"/>
  <c r="N84" i="14"/>
  <c r="N116" i="14"/>
  <c r="N132" i="14"/>
  <c r="N148" i="14"/>
  <c r="N9" i="14"/>
  <c r="N56" i="14"/>
  <c r="N88" i="14"/>
  <c r="N120" i="14"/>
  <c r="N136" i="14"/>
  <c r="N12" i="14"/>
  <c r="N48" i="14"/>
  <c r="N140" i="14"/>
  <c r="N15" i="14"/>
  <c r="N41" i="14"/>
  <c r="N58" i="14"/>
  <c r="N79" i="14"/>
  <c r="N111" i="14"/>
  <c r="N126" i="14"/>
  <c r="N8" i="14"/>
  <c r="N46" i="14"/>
  <c r="N81" i="14"/>
  <c r="N123" i="14"/>
  <c r="N38" i="14"/>
  <c r="N21" i="14"/>
  <c r="N39" i="14"/>
  <c r="N69" i="14"/>
  <c r="N91" i="14"/>
  <c r="N109" i="14"/>
  <c r="N133" i="14"/>
  <c r="N62" i="14"/>
  <c r="N10" i="14"/>
  <c r="N31" i="14"/>
  <c r="N57" i="14"/>
  <c r="N74" i="14"/>
  <c r="N102" i="14"/>
  <c r="N118" i="14"/>
  <c r="N19" i="14"/>
  <c r="N72" i="14"/>
  <c r="N141" i="14"/>
  <c r="N23" i="14"/>
  <c r="N45" i="14"/>
  <c r="N63" i="14"/>
  <c r="N89" i="14"/>
  <c r="N115" i="14"/>
  <c r="N131" i="14"/>
  <c r="N33" i="14"/>
  <c r="N51" i="14"/>
  <c r="N85" i="14"/>
  <c r="N137" i="14"/>
  <c r="N86" i="14"/>
  <c r="N25" i="14"/>
  <c r="N43" i="14"/>
  <c r="N73" i="14"/>
  <c r="N95" i="14"/>
  <c r="N113" i="14"/>
  <c r="N138" i="14"/>
  <c r="N130" i="14"/>
  <c r="N14" i="14"/>
  <c r="N35" i="14"/>
  <c r="N61" i="14"/>
  <c r="N78" i="14"/>
  <c r="N106" i="14"/>
  <c r="N125" i="14"/>
  <c r="N67" i="14"/>
  <c r="N100" i="14"/>
  <c r="N134" i="14"/>
  <c r="N27" i="14"/>
  <c r="N50" i="14"/>
  <c r="N71" i="14"/>
  <c r="N93" i="14"/>
  <c r="N119" i="14"/>
  <c r="N98" i="14"/>
  <c r="N37" i="14"/>
  <c r="N55" i="14"/>
  <c r="N90" i="14"/>
  <c r="N145" i="14"/>
  <c r="N13" i="14"/>
  <c r="N29" i="14"/>
  <c r="N47" i="14"/>
  <c r="N77" i="14"/>
  <c r="N101" i="14"/>
  <c r="N117" i="14"/>
  <c r="N142" i="14"/>
  <c r="N30" i="14"/>
  <c r="N18" i="14"/>
  <c r="N49" i="14"/>
  <c r="N66" i="14"/>
  <c r="N83" i="14"/>
  <c r="N110" i="14"/>
  <c r="N129" i="14"/>
  <c r="N104" i="14"/>
  <c r="N11" i="14"/>
  <c r="N36" i="14"/>
  <c r="N54" i="14"/>
  <c r="N75" i="14"/>
  <c r="N42" i="14"/>
  <c r="N17" i="14"/>
  <c r="N105" i="14"/>
  <c r="N22" i="14"/>
  <c r="N114" i="14"/>
  <c r="N107" i="14"/>
  <c r="N59" i="14"/>
  <c r="N34" i="14"/>
  <c r="N121" i="14"/>
  <c r="N53" i="14"/>
  <c r="N7" i="14"/>
  <c r="N122" i="14"/>
  <c r="N94" i="14"/>
  <c r="N65" i="14"/>
  <c r="N146" i="14"/>
  <c r="N70" i="14"/>
  <c r="N4" i="14"/>
  <c r="N149" i="14"/>
  <c r="N82" i="14"/>
  <c r="N6" i="14"/>
  <c r="N97" i="14"/>
  <c r="N26" i="14"/>
  <c r="F4" i="11"/>
  <c r="G4" i="11" s="1"/>
  <c r="I4" i="11" s="1"/>
  <c r="F5" i="11"/>
  <c r="G5" i="11" s="1"/>
  <c r="I5" i="11" s="1"/>
  <c r="F6" i="11"/>
  <c r="G6" i="11"/>
  <c r="I6" i="11" s="1"/>
  <c r="F7" i="11"/>
  <c r="G7" i="11" s="1"/>
  <c r="I7" i="11" s="1"/>
  <c r="F8" i="11"/>
  <c r="G8" i="11" s="1"/>
  <c r="I8" i="11" s="1"/>
  <c r="F9" i="11"/>
  <c r="G9" i="11" s="1"/>
  <c r="I9" i="11" s="1"/>
  <c r="F10" i="11"/>
  <c r="G10" i="11" s="1"/>
  <c r="I10" i="11" s="1"/>
  <c r="F11" i="11"/>
  <c r="G11" i="11" s="1"/>
  <c r="I11" i="11" s="1"/>
  <c r="F12" i="11"/>
  <c r="G12" i="11" s="1"/>
  <c r="I12" i="11" s="1"/>
  <c r="F13" i="11"/>
  <c r="G13" i="11" s="1"/>
  <c r="I13" i="11" s="1"/>
  <c r="F14" i="11"/>
  <c r="G14" i="11" s="1"/>
  <c r="I14" i="11" s="1"/>
  <c r="F15" i="11"/>
  <c r="G15" i="11" s="1"/>
  <c r="I15" i="11" s="1"/>
  <c r="F16" i="11"/>
  <c r="G16" i="11" s="1"/>
  <c r="I16" i="11" s="1"/>
  <c r="F17" i="11"/>
  <c r="G17" i="11" s="1"/>
  <c r="I17" i="11" s="1"/>
  <c r="F18" i="11"/>
  <c r="G18" i="11" s="1"/>
  <c r="I18" i="11" s="1"/>
  <c r="F19" i="11"/>
  <c r="G19" i="11" s="1"/>
  <c r="I19" i="11" s="1"/>
  <c r="F20" i="11"/>
  <c r="G20" i="11" s="1"/>
  <c r="I20" i="11" s="1"/>
  <c r="F21" i="11"/>
  <c r="G21" i="11"/>
  <c r="I21" i="11" s="1"/>
  <c r="F22" i="11"/>
  <c r="G22" i="11" s="1"/>
  <c r="I22" i="11" s="1"/>
  <c r="F23" i="11"/>
  <c r="G23" i="11" s="1"/>
  <c r="I23" i="11" s="1"/>
  <c r="F24" i="11"/>
  <c r="G24" i="11" s="1"/>
  <c r="I24" i="11" s="1"/>
  <c r="F25" i="11"/>
  <c r="G25" i="11" s="1"/>
  <c r="I25" i="11" s="1"/>
  <c r="F26" i="11"/>
  <c r="G26" i="11" s="1"/>
  <c r="I26" i="11" s="1"/>
  <c r="F27" i="11"/>
  <c r="G27" i="11" s="1"/>
  <c r="I27" i="11" s="1"/>
  <c r="F28" i="11"/>
  <c r="G28" i="11" s="1"/>
  <c r="I28" i="11" s="1"/>
  <c r="F29" i="11"/>
  <c r="G29" i="11" s="1"/>
  <c r="I29" i="11" s="1"/>
  <c r="F30" i="11"/>
  <c r="G30" i="11"/>
  <c r="I30" i="11" s="1"/>
  <c r="F31" i="11"/>
  <c r="G31" i="11" s="1"/>
  <c r="I31" i="11" s="1"/>
  <c r="F32" i="11"/>
  <c r="G32" i="11" s="1"/>
  <c r="I32" i="11" s="1"/>
  <c r="F33" i="11"/>
  <c r="G33" i="11" s="1"/>
  <c r="I33" i="11" s="1"/>
  <c r="F34" i="11"/>
  <c r="G34" i="11" s="1"/>
  <c r="I34" i="11" s="1"/>
  <c r="F35" i="11"/>
  <c r="G35" i="11" s="1"/>
  <c r="I35" i="11" s="1"/>
  <c r="F36" i="11"/>
  <c r="G36" i="11" s="1"/>
  <c r="I36" i="11" s="1"/>
  <c r="F37" i="11"/>
  <c r="G37" i="11" s="1"/>
  <c r="I37" i="11" s="1"/>
  <c r="F38" i="11"/>
  <c r="G38" i="11" s="1"/>
  <c r="I38" i="11" s="1"/>
  <c r="F40" i="11"/>
  <c r="G40" i="11" s="1"/>
  <c r="I40" i="11" s="1"/>
  <c r="F41" i="11"/>
  <c r="G41" i="11" s="1"/>
  <c r="I41" i="11" s="1"/>
  <c r="F42" i="11"/>
  <c r="G42" i="11" s="1"/>
  <c r="I42" i="11" s="1"/>
  <c r="F43" i="11"/>
  <c r="G43" i="11" s="1"/>
  <c r="I43" i="11" s="1"/>
  <c r="F44" i="11"/>
  <c r="G44" i="11" s="1"/>
  <c r="I44" i="11" s="1"/>
  <c r="F45" i="11"/>
  <c r="G45" i="11"/>
  <c r="I45" i="11" s="1"/>
  <c r="F46" i="11"/>
  <c r="G46" i="11" s="1"/>
  <c r="I46" i="11" s="1"/>
  <c r="F47" i="11"/>
  <c r="G47" i="11" s="1"/>
  <c r="I47" i="11" s="1"/>
  <c r="F48" i="11"/>
  <c r="G48" i="11" s="1"/>
  <c r="I48" i="11" s="1"/>
  <c r="F49" i="11"/>
  <c r="G49" i="11" s="1"/>
  <c r="I49" i="11" s="1"/>
  <c r="F50" i="11"/>
  <c r="G50" i="11" s="1"/>
  <c r="I50" i="11" s="1"/>
  <c r="F51" i="11"/>
  <c r="G51" i="11" s="1"/>
  <c r="I51" i="11" s="1"/>
  <c r="F52" i="11"/>
  <c r="G52" i="11" s="1"/>
  <c r="I52" i="11" s="1"/>
  <c r="F53" i="11"/>
  <c r="G53" i="11" s="1"/>
  <c r="I53" i="11" s="1"/>
  <c r="F54" i="11"/>
  <c r="G54" i="11" s="1"/>
  <c r="I54" i="11" s="1"/>
  <c r="F55" i="11"/>
  <c r="G55" i="11" s="1"/>
  <c r="I55" i="11" s="1"/>
  <c r="F56" i="11"/>
  <c r="G56" i="11" s="1"/>
  <c r="I56" i="11" s="1"/>
  <c r="F57" i="11"/>
  <c r="G57" i="11" s="1"/>
  <c r="I57" i="11" s="1"/>
  <c r="F58" i="11"/>
  <c r="G58" i="11"/>
  <c r="I58" i="11" s="1"/>
  <c r="F59" i="11"/>
  <c r="G59" i="11" s="1"/>
  <c r="I59" i="11" s="1"/>
  <c r="F60" i="11"/>
  <c r="G60" i="11" s="1"/>
  <c r="I60" i="11" s="1"/>
  <c r="F61" i="11"/>
  <c r="G61" i="11"/>
  <c r="I61" i="11" s="1"/>
  <c r="F62" i="11"/>
  <c r="G62" i="11" s="1"/>
  <c r="I62" i="11" s="1"/>
  <c r="F63" i="11"/>
  <c r="G63" i="11" s="1"/>
  <c r="I63" i="11" s="1"/>
  <c r="F64" i="11"/>
  <c r="G64" i="11" s="1"/>
  <c r="I64" i="11" s="1"/>
  <c r="F65" i="11"/>
  <c r="G65" i="11" s="1"/>
  <c r="I65" i="11" s="1"/>
  <c r="F66" i="11"/>
  <c r="G66" i="11" s="1"/>
  <c r="I66" i="11" s="1"/>
  <c r="F67" i="11"/>
  <c r="G67" i="11" s="1"/>
  <c r="I67" i="11" s="1"/>
  <c r="F68" i="11"/>
  <c r="G68" i="11" s="1"/>
  <c r="I68" i="11" s="1"/>
  <c r="F69" i="11"/>
  <c r="G69" i="11" s="1"/>
  <c r="I69" i="11" s="1"/>
  <c r="F70" i="11"/>
  <c r="G70" i="11" s="1"/>
  <c r="I70" i="11" s="1"/>
  <c r="F71" i="11"/>
  <c r="G71" i="11" s="1"/>
  <c r="I71" i="11" s="1"/>
  <c r="F72" i="11"/>
  <c r="G72" i="11" s="1"/>
  <c r="I72" i="11" s="1"/>
  <c r="F73" i="11"/>
  <c r="G73" i="11" s="1"/>
  <c r="I73" i="11" s="1"/>
  <c r="F74" i="11"/>
  <c r="G74" i="11" s="1"/>
  <c r="I74" i="11" s="1"/>
  <c r="F75" i="11"/>
  <c r="G75" i="11" s="1"/>
  <c r="I75" i="11" s="1"/>
  <c r="F76" i="11"/>
  <c r="G76" i="11" s="1"/>
  <c r="I76" i="11" s="1"/>
  <c r="F77" i="11"/>
  <c r="G77" i="11" s="1"/>
  <c r="I77" i="11" s="1"/>
  <c r="F78" i="11"/>
  <c r="G78" i="11"/>
  <c r="I78" i="11" s="1"/>
  <c r="F79" i="11"/>
  <c r="G79" i="11" s="1"/>
  <c r="I79" i="11" s="1"/>
  <c r="F80" i="11"/>
  <c r="G80" i="11" s="1"/>
  <c r="I80" i="11" s="1"/>
  <c r="F81" i="11"/>
  <c r="G81" i="11" s="1"/>
  <c r="I81" i="11" s="1"/>
  <c r="F82" i="11"/>
  <c r="G82" i="11" s="1"/>
  <c r="I82" i="11" s="1"/>
  <c r="F83" i="11"/>
  <c r="G83" i="11" s="1"/>
  <c r="I83" i="11" s="1"/>
  <c r="F84" i="11"/>
  <c r="G84" i="11" s="1"/>
  <c r="I84" i="11" s="1"/>
  <c r="F85" i="11"/>
  <c r="G85" i="11" s="1"/>
  <c r="I85" i="11" s="1"/>
  <c r="F86" i="11"/>
  <c r="G86" i="11" s="1"/>
  <c r="I86" i="11" s="1"/>
  <c r="F87" i="11"/>
  <c r="G87" i="11" s="1"/>
  <c r="I87" i="11" s="1"/>
  <c r="F88" i="11"/>
  <c r="G88" i="11" s="1"/>
  <c r="I88" i="11" s="1"/>
  <c r="F89" i="11"/>
  <c r="G89" i="11" s="1"/>
  <c r="I89" i="11" s="1"/>
  <c r="F90" i="11"/>
  <c r="G90" i="11" s="1"/>
  <c r="I90" i="11" s="1"/>
  <c r="F91" i="11"/>
  <c r="G91" i="11" s="1"/>
  <c r="I91" i="11" s="1"/>
  <c r="F92" i="11"/>
  <c r="G92" i="11" s="1"/>
  <c r="I92" i="11" s="1"/>
  <c r="F93" i="11"/>
  <c r="G93" i="11" s="1"/>
  <c r="I93" i="11" s="1"/>
  <c r="F94" i="11"/>
  <c r="G94" i="11"/>
  <c r="I94" i="11" s="1"/>
  <c r="F95" i="11"/>
  <c r="G95" i="11" s="1"/>
  <c r="I95" i="11" s="1"/>
  <c r="F96" i="11"/>
  <c r="G96" i="11" s="1"/>
  <c r="I96" i="11" s="1"/>
  <c r="F98" i="11"/>
  <c r="G98" i="11" s="1"/>
  <c r="I98" i="11" s="1"/>
  <c r="F99" i="11"/>
  <c r="G99" i="11" s="1"/>
  <c r="I99" i="11" s="1"/>
  <c r="F100" i="11"/>
  <c r="G100" i="11" s="1"/>
  <c r="I100" i="11" s="1"/>
  <c r="F101" i="11"/>
  <c r="G101" i="11"/>
  <c r="I101" i="11" s="1"/>
  <c r="F102" i="11"/>
  <c r="G102" i="11" s="1"/>
  <c r="I102" i="11" s="1"/>
  <c r="F103" i="11"/>
  <c r="G103" i="11" s="1"/>
  <c r="I103" i="11" s="1"/>
  <c r="F104" i="11"/>
  <c r="G104" i="11" s="1"/>
  <c r="I104" i="11" s="1"/>
  <c r="F105" i="11"/>
  <c r="G105" i="11" s="1"/>
  <c r="I105" i="11" s="1"/>
  <c r="F106" i="11"/>
  <c r="G106" i="11" s="1"/>
  <c r="I106" i="11" s="1"/>
  <c r="F107" i="11"/>
  <c r="G107" i="11" s="1"/>
  <c r="I107" i="11" s="1"/>
  <c r="F108" i="11"/>
  <c r="G108" i="11" s="1"/>
  <c r="I108" i="11" s="1"/>
  <c r="F109" i="11"/>
  <c r="G109" i="11" s="1"/>
  <c r="I109" i="11" s="1"/>
  <c r="F110" i="11"/>
  <c r="G110" i="11" s="1"/>
  <c r="I110" i="11" s="1"/>
  <c r="F111" i="11"/>
  <c r="G111" i="11" s="1"/>
  <c r="I111" i="11" s="1"/>
  <c r="F112" i="11"/>
  <c r="G112" i="11" s="1"/>
  <c r="I112" i="11" s="1"/>
  <c r="F113" i="11"/>
  <c r="G113" i="11" s="1"/>
  <c r="I113" i="11" s="1"/>
  <c r="F114" i="11"/>
  <c r="G114" i="11" s="1"/>
  <c r="I114" i="11" s="1"/>
  <c r="F115" i="11"/>
  <c r="G115" i="11" s="1"/>
  <c r="I115" i="11" s="1"/>
  <c r="F116" i="11"/>
  <c r="G116" i="11" s="1"/>
  <c r="I116" i="11" s="1"/>
  <c r="F117" i="11"/>
  <c r="G117" i="11"/>
  <c r="I117" i="11" s="1"/>
  <c r="F118" i="11"/>
  <c r="G118" i="11"/>
  <c r="I118" i="11" s="1"/>
  <c r="F119" i="11"/>
  <c r="G119" i="11" s="1"/>
  <c r="I119" i="11" s="1"/>
  <c r="F120" i="11"/>
  <c r="G120" i="11" s="1"/>
  <c r="I120" i="11" s="1"/>
  <c r="F121" i="11"/>
  <c r="G121" i="11" s="1"/>
  <c r="I121" i="11" s="1"/>
  <c r="F122" i="11"/>
  <c r="G122" i="11" s="1"/>
  <c r="I122" i="11" s="1"/>
  <c r="F123" i="11"/>
  <c r="G123" i="11" s="1"/>
  <c r="I123" i="11" s="1"/>
  <c r="F124" i="11"/>
  <c r="G124" i="11" s="1"/>
  <c r="I124" i="11" s="1"/>
  <c r="F125" i="11"/>
  <c r="G125" i="11"/>
  <c r="I125" i="11" s="1"/>
  <c r="F126" i="11"/>
  <c r="G126" i="11" s="1"/>
  <c r="I126" i="11" s="1"/>
  <c r="F127" i="11"/>
  <c r="G127" i="11" s="1"/>
  <c r="I127" i="11" s="1"/>
  <c r="F128" i="11"/>
  <c r="G128" i="11" s="1"/>
  <c r="I128" i="11" s="1"/>
  <c r="F129" i="11"/>
  <c r="G129" i="11" s="1"/>
  <c r="I129" i="11" s="1"/>
  <c r="F130" i="11"/>
  <c r="G130" i="11" s="1"/>
  <c r="I130" i="11" s="1"/>
  <c r="F131" i="11"/>
  <c r="G131" i="11" s="1"/>
  <c r="I131" i="11" s="1"/>
  <c r="F132" i="11"/>
  <c r="G132" i="11"/>
  <c r="I132" i="11" s="1"/>
  <c r="F133" i="11"/>
  <c r="G133" i="11" s="1"/>
  <c r="I133" i="11" s="1"/>
  <c r="F134" i="11"/>
  <c r="G134" i="11"/>
  <c r="I134" i="11" s="1"/>
  <c r="F135" i="11"/>
  <c r="G135" i="11" s="1"/>
  <c r="I135" i="11" s="1"/>
  <c r="F136" i="11"/>
  <c r="G136" i="11" s="1"/>
  <c r="I136" i="11" s="1"/>
  <c r="F137" i="11"/>
  <c r="G137" i="11" s="1"/>
  <c r="I137" i="11" s="1"/>
  <c r="F138" i="11"/>
  <c r="G138" i="11" s="1"/>
  <c r="I138" i="11" s="1"/>
  <c r="F139" i="11"/>
  <c r="G139" i="11" s="1"/>
  <c r="I139" i="11" s="1"/>
  <c r="F140" i="11"/>
  <c r="G140" i="11" s="1"/>
  <c r="I140" i="11" s="1"/>
  <c r="F142" i="11"/>
  <c r="G142" i="11"/>
  <c r="I142" i="11" s="1"/>
  <c r="F143" i="11"/>
  <c r="G143" i="11" s="1"/>
  <c r="I143" i="11" s="1"/>
  <c r="F144" i="11"/>
  <c r="G144" i="11" s="1"/>
  <c r="I144" i="11" s="1"/>
  <c r="F145" i="11"/>
  <c r="G145" i="11" s="1"/>
  <c r="I145" i="11" s="1"/>
  <c r="F146" i="11"/>
  <c r="G146" i="11" s="1"/>
  <c r="I146" i="11" s="1"/>
  <c r="F147" i="11"/>
  <c r="G147" i="11" s="1"/>
  <c r="I147" i="11" s="1"/>
  <c r="F148" i="11"/>
  <c r="G148" i="11" s="1"/>
  <c r="I148" i="11" s="1"/>
  <c r="F149" i="11"/>
  <c r="G149" i="11" s="1"/>
  <c r="I149" i="11" s="1"/>
  <c r="F150" i="11"/>
  <c r="G150" i="11"/>
  <c r="I150" i="11" s="1"/>
  <c r="F151" i="11"/>
  <c r="G151" i="11" s="1"/>
  <c r="I151" i="11" s="1"/>
  <c r="F152" i="11"/>
  <c r="G152" i="11" s="1"/>
  <c r="I152" i="11" s="1"/>
  <c r="C153" i="11"/>
  <c r="D153" i="11"/>
  <c r="E153" i="11"/>
  <c r="H153" i="11"/>
  <c r="F156" i="11"/>
  <c r="F158" i="11" s="1"/>
  <c r="F39" i="11" s="1"/>
  <c r="G39" i="11" s="1"/>
  <c r="I39" i="11" s="1"/>
  <c r="F160" i="11"/>
  <c r="F141" i="11" s="1"/>
  <c r="G141" i="11" s="1"/>
  <c r="I141" i="11" s="1"/>
  <c r="P153" i="14" l="1"/>
  <c r="P152" i="14"/>
  <c r="P154" i="14" s="1"/>
  <c r="F159" i="11"/>
  <c r="F97" i="11" s="1"/>
  <c r="G97" i="11" s="1"/>
  <c r="I97" i="11" s="1"/>
  <c r="I153" i="11" s="1"/>
  <c r="B4" i="4"/>
  <c r="B3" i="4"/>
  <c r="A1" i="4"/>
  <c r="C8" i="4"/>
  <c r="C9" i="4" s="1"/>
  <c r="D8" i="4"/>
  <c r="D9" i="4" s="1"/>
  <c r="B8" i="4"/>
  <c r="B9" i="4" s="1"/>
  <c r="D12" i="18" l="1"/>
  <c r="D8" i="18"/>
  <c r="D4" i="18"/>
  <c r="D5" i="18"/>
  <c r="D11" i="18"/>
  <c r="D7" i="18"/>
  <c r="C4" i="18"/>
  <c r="C5" i="18"/>
  <c r="D6" i="18"/>
  <c r="D10" i="18"/>
  <c r="C6" i="18"/>
  <c r="D9" i="18"/>
  <c r="D3" i="4"/>
  <c r="D10" i="4"/>
  <c r="C10" i="4"/>
  <c r="C3" i="4"/>
  <c r="D15" i="4"/>
  <c r="B39" i="1"/>
  <c r="D4" i="4"/>
  <c r="C15" i="4"/>
  <c r="C4" i="4"/>
  <c r="C5" i="4"/>
  <c r="C16" i="4"/>
  <c r="D5" i="4"/>
  <c r="N76" i="10"/>
  <c r="E78" i="10"/>
  <c r="E187" i="10" s="1"/>
  <c r="E81" i="10"/>
  <c r="E113" i="10"/>
  <c r="M134" i="10"/>
  <c r="N139" i="10"/>
  <c r="N187" i="10" s="1"/>
  <c r="D187" i="10"/>
  <c r="F187" i="10"/>
  <c r="G187" i="10"/>
  <c r="H187" i="10"/>
  <c r="I187" i="10"/>
  <c r="J187" i="10"/>
  <c r="K187" i="10"/>
  <c r="L187" i="10"/>
  <c r="M187" i="10"/>
  <c r="O187" i="10"/>
  <c r="P187" i="10"/>
  <c r="Q187" i="10"/>
  <c r="D13" i="18" l="1"/>
  <c r="C13" i="18"/>
  <c r="B16" i="4"/>
  <c r="B20" i="13"/>
  <c r="D25" i="1"/>
  <c r="C14" i="18" l="1"/>
  <c r="B36" i="1"/>
  <c r="E3" i="9"/>
  <c r="G3" i="9" s="1"/>
  <c r="I3" i="9"/>
  <c r="E4" i="9"/>
  <c r="F4" i="9" s="1"/>
  <c r="I4" i="9"/>
  <c r="E5" i="9"/>
  <c r="F5" i="9" s="1"/>
  <c r="I5" i="9"/>
  <c r="E6" i="9"/>
  <c r="F6" i="9" s="1"/>
  <c r="I6" i="9"/>
  <c r="E7" i="9"/>
  <c r="G7" i="9" s="1"/>
  <c r="I7" i="9"/>
  <c r="E8" i="9"/>
  <c r="F8" i="9" s="1"/>
  <c r="I8" i="9"/>
  <c r="E9" i="9"/>
  <c r="G9" i="9" s="1"/>
  <c r="I9" i="9"/>
  <c r="E10" i="9"/>
  <c r="I10" i="9"/>
  <c r="E11" i="9"/>
  <c r="G11" i="9" s="1"/>
  <c r="I11" i="9"/>
  <c r="E12" i="9"/>
  <c r="F12" i="9" s="1"/>
  <c r="I12" i="9"/>
  <c r="E13" i="9"/>
  <c r="F13" i="9" s="1"/>
  <c r="I13" i="9"/>
  <c r="E14" i="9"/>
  <c r="F14" i="9" s="1"/>
  <c r="I14" i="9"/>
  <c r="E15" i="9"/>
  <c r="F15" i="9" s="1"/>
  <c r="I15" i="9"/>
  <c r="E16" i="9"/>
  <c r="F16" i="9" s="1"/>
  <c r="I16" i="9"/>
  <c r="E17" i="9"/>
  <c r="G17" i="9" s="1"/>
  <c r="I17" i="9"/>
  <c r="E18" i="9"/>
  <c r="I18" i="9"/>
  <c r="E19" i="9"/>
  <c r="G19" i="9" s="1"/>
  <c r="I19" i="9"/>
  <c r="E20" i="9"/>
  <c r="F20" i="9" s="1"/>
  <c r="I20" i="9"/>
  <c r="E21" i="9"/>
  <c r="F21" i="9" s="1"/>
  <c r="I21" i="9"/>
  <c r="E22" i="9"/>
  <c r="F22" i="9" s="1"/>
  <c r="G22" i="9"/>
  <c r="I22" i="9"/>
  <c r="E23" i="9"/>
  <c r="F23" i="9" s="1"/>
  <c r="I23" i="9"/>
  <c r="E24" i="9"/>
  <c r="F24" i="9" s="1"/>
  <c r="I24" i="9"/>
  <c r="E25" i="9"/>
  <c r="G25" i="9" s="1"/>
  <c r="I25" i="9"/>
  <c r="E26" i="9"/>
  <c r="I26" i="9"/>
  <c r="E27" i="9"/>
  <c r="G27" i="9" s="1"/>
  <c r="I27" i="9"/>
  <c r="E28" i="9"/>
  <c r="F28" i="9" s="1"/>
  <c r="I28" i="9"/>
  <c r="E29" i="9"/>
  <c r="F29" i="9" s="1"/>
  <c r="I29" i="9"/>
  <c r="E30" i="9"/>
  <c r="F30" i="9" s="1"/>
  <c r="G30" i="9"/>
  <c r="I30" i="9"/>
  <c r="E31" i="9"/>
  <c r="G31" i="9" s="1"/>
  <c r="I31" i="9"/>
  <c r="E32" i="9"/>
  <c r="F32" i="9" s="1"/>
  <c r="I32" i="9"/>
  <c r="E33" i="9"/>
  <c r="G33" i="9" s="1"/>
  <c r="F33" i="9"/>
  <c r="I33" i="9"/>
  <c r="E34" i="9"/>
  <c r="I34" i="9"/>
  <c r="E35" i="9"/>
  <c r="G35" i="9" s="1"/>
  <c r="I35" i="9"/>
  <c r="E36" i="9"/>
  <c r="F36" i="9" s="1"/>
  <c r="I36" i="9"/>
  <c r="E37" i="9"/>
  <c r="F37" i="9" s="1"/>
  <c r="I37" i="9"/>
  <c r="E38" i="9"/>
  <c r="F38" i="9" s="1"/>
  <c r="I38" i="9"/>
  <c r="E39" i="9"/>
  <c r="G39" i="9" s="1"/>
  <c r="I39" i="9"/>
  <c r="E40" i="9"/>
  <c r="F40" i="9" s="1"/>
  <c r="I40" i="9"/>
  <c r="E41" i="9"/>
  <c r="G41" i="9" s="1"/>
  <c r="I41" i="9"/>
  <c r="E42" i="9"/>
  <c r="I42" i="9"/>
  <c r="E43" i="9"/>
  <c r="G43" i="9" s="1"/>
  <c r="I43" i="9"/>
  <c r="E44" i="9"/>
  <c r="F44" i="9" s="1"/>
  <c r="I44" i="9"/>
  <c r="E45" i="9"/>
  <c r="F45" i="9" s="1"/>
  <c r="I45" i="9"/>
  <c r="E46" i="9"/>
  <c r="F46" i="9" s="1"/>
  <c r="I46" i="9"/>
  <c r="E47" i="9"/>
  <c r="F47" i="9" s="1"/>
  <c r="I47" i="9"/>
  <c r="E48" i="9"/>
  <c r="F48" i="9" s="1"/>
  <c r="I48" i="9"/>
  <c r="E49" i="9"/>
  <c r="G49" i="9" s="1"/>
  <c r="I49" i="9"/>
  <c r="E50" i="9"/>
  <c r="I50" i="9"/>
  <c r="E51" i="9"/>
  <c r="F51" i="9" s="1"/>
  <c r="I51" i="9"/>
  <c r="E52" i="9"/>
  <c r="F52" i="9" s="1"/>
  <c r="I52" i="9"/>
  <c r="E53" i="9"/>
  <c r="F53" i="9" s="1"/>
  <c r="I53" i="9"/>
  <c r="E54" i="9"/>
  <c r="F54" i="9" s="1"/>
  <c r="I54" i="9"/>
  <c r="E55" i="9"/>
  <c r="F55" i="9" s="1"/>
  <c r="I55" i="9"/>
  <c r="E56" i="9"/>
  <c r="F56" i="9" s="1"/>
  <c r="G56" i="9"/>
  <c r="I56" i="9"/>
  <c r="E57" i="9"/>
  <c r="G57" i="9" s="1"/>
  <c r="I57" i="9"/>
  <c r="E58" i="9"/>
  <c r="I58" i="9"/>
  <c r="E59" i="9"/>
  <c r="F59" i="9" s="1"/>
  <c r="I59" i="9"/>
  <c r="E60" i="9"/>
  <c r="F60" i="9" s="1"/>
  <c r="I60" i="9"/>
  <c r="E61" i="9"/>
  <c r="F61" i="9" s="1"/>
  <c r="I61" i="9"/>
  <c r="E62" i="9"/>
  <c r="F62" i="9" s="1"/>
  <c r="I62" i="9"/>
  <c r="E63" i="9"/>
  <c r="F63" i="9" s="1"/>
  <c r="I63" i="9"/>
  <c r="E64" i="9"/>
  <c r="F64" i="9" s="1"/>
  <c r="I64" i="9"/>
  <c r="O65" i="9"/>
  <c r="E66" i="9"/>
  <c r="I66" i="9"/>
  <c r="E67" i="9"/>
  <c r="F67" i="9" s="1"/>
  <c r="I67" i="9"/>
  <c r="E68" i="9"/>
  <c r="G68" i="9" s="1"/>
  <c r="I68" i="9"/>
  <c r="E69" i="9"/>
  <c r="F69" i="9" s="1"/>
  <c r="I69" i="9"/>
  <c r="E70" i="9"/>
  <c r="F70" i="9" s="1"/>
  <c r="I70" i="9"/>
  <c r="E71" i="9"/>
  <c r="F71" i="9" s="1"/>
  <c r="I71" i="9"/>
  <c r="E72" i="9"/>
  <c r="F72" i="9" s="1"/>
  <c r="I72" i="9"/>
  <c r="O73" i="9"/>
  <c r="E74" i="9"/>
  <c r="I74" i="9"/>
  <c r="E75" i="9"/>
  <c r="F75" i="9" s="1"/>
  <c r="I75" i="9"/>
  <c r="E76" i="9"/>
  <c r="F76" i="9" s="1"/>
  <c r="I76" i="9"/>
  <c r="E77" i="9"/>
  <c r="F77" i="9" s="1"/>
  <c r="I77" i="9"/>
  <c r="E78" i="9"/>
  <c r="G78" i="9" s="1"/>
  <c r="I78" i="9"/>
  <c r="E79" i="9"/>
  <c r="F79" i="9" s="1"/>
  <c r="I79" i="9"/>
  <c r="E80" i="9"/>
  <c r="F80" i="9" s="1"/>
  <c r="I80" i="9"/>
  <c r="E81" i="9"/>
  <c r="G81" i="9" s="1"/>
  <c r="I81" i="9"/>
  <c r="E82" i="9"/>
  <c r="I82" i="9"/>
  <c r="E83" i="9"/>
  <c r="F83" i="9" s="1"/>
  <c r="G83" i="9"/>
  <c r="I83" i="9"/>
  <c r="E84" i="9"/>
  <c r="F84" i="9" s="1"/>
  <c r="I84" i="9"/>
  <c r="E85" i="9"/>
  <c r="F85" i="9" s="1"/>
  <c r="G85" i="9"/>
  <c r="I85" i="9"/>
  <c r="E86" i="9"/>
  <c r="G86" i="9" s="1"/>
  <c r="I86" i="9"/>
  <c r="E87" i="9"/>
  <c r="F87" i="9" s="1"/>
  <c r="I87" i="9"/>
  <c r="E88" i="9"/>
  <c r="F88" i="9" s="1"/>
  <c r="I88" i="9"/>
  <c r="E89" i="9"/>
  <c r="F89" i="9" s="1"/>
  <c r="G89" i="9"/>
  <c r="I89" i="9"/>
  <c r="E90" i="9"/>
  <c r="I90" i="9"/>
  <c r="E91" i="9"/>
  <c r="F91" i="9" s="1"/>
  <c r="I91" i="9"/>
  <c r="E92" i="9"/>
  <c r="F92" i="9" s="1"/>
  <c r="I92" i="9"/>
  <c r="E93" i="9"/>
  <c r="F93" i="9" s="1"/>
  <c r="I93" i="9"/>
  <c r="E94" i="9"/>
  <c r="G94" i="9" s="1"/>
  <c r="I94" i="9"/>
  <c r="E95" i="9"/>
  <c r="F95" i="9" s="1"/>
  <c r="I95" i="9"/>
  <c r="E96" i="9"/>
  <c r="F96" i="9" s="1"/>
  <c r="I96" i="9"/>
  <c r="E97" i="9"/>
  <c r="G97" i="9" s="1"/>
  <c r="I97" i="9"/>
  <c r="E98" i="9"/>
  <c r="I98" i="9"/>
  <c r="E99" i="9"/>
  <c r="F99" i="9" s="1"/>
  <c r="I99" i="9"/>
  <c r="E100" i="9"/>
  <c r="F100" i="9" s="1"/>
  <c r="I100" i="9"/>
  <c r="E101" i="9"/>
  <c r="F101" i="9" s="1"/>
  <c r="I101" i="9"/>
  <c r="E102" i="9"/>
  <c r="F102" i="9" s="1"/>
  <c r="I102" i="9"/>
  <c r="E103" i="9"/>
  <c r="F103" i="9" s="1"/>
  <c r="I103" i="9"/>
  <c r="E104" i="9"/>
  <c r="F104" i="9" s="1"/>
  <c r="I104" i="9"/>
  <c r="E105" i="9"/>
  <c r="F105" i="9" s="1"/>
  <c r="G105" i="9"/>
  <c r="I105" i="9"/>
  <c r="E106" i="9"/>
  <c r="F106" i="9" s="1"/>
  <c r="I106" i="9"/>
  <c r="E107" i="9"/>
  <c r="G107" i="9" s="1"/>
  <c r="I107" i="9"/>
  <c r="E108" i="9"/>
  <c r="F108" i="9" s="1"/>
  <c r="I108" i="9"/>
  <c r="E109" i="9"/>
  <c r="F109" i="9" s="1"/>
  <c r="I109" i="9"/>
  <c r="E110" i="9"/>
  <c r="F110" i="9" s="1"/>
  <c r="I110" i="9"/>
  <c r="E111" i="9"/>
  <c r="F111" i="9" s="1"/>
  <c r="I111" i="9"/>
  <c r="E112" i="9"/>
  <c r="F112" i="9" s="1"/>
  <c r="I112" i="9"/>
  <c r="E113" i="9"/>
  <c r="F113" i="9" s="1"/>
  <c r="H113" i="9" s="1"/>
  <c r="J113" i="9" s="1"/>
  <c r="G113" i="9"/>
  <c r="I113" i="9"/>
  <c r="E114" i="9"/>
  <c r="F114" i="9" s="1"/>
  <c r="I114" i="9"/>
  <c r="E115" i="9"/>
  <c r="G115" i="9" s="1"/>
  <c r="I115" i="9"/>
  <c r="E116" i="9"/>
  <c r="F116" i="9" s="1"/>
  <c r="I116" i="9"/>
  <c r="E117" i="9"/>
  <c r="F117" i="9" s="1"/>
  <c r="I117" i="9"/>
  <c r="E118" i="9"/>
  <c r="I118" i="9"/>
  <c r="E119" i="9"/>
  <c r="F119" i="9" s="1"/>
  <c r="I119" i="9"/>
  <c r="E120" i="9"/>
  <c r="F120" i="9" s="1"/>
  <c r="I120" i="9"/>
  <c r="E121" i="9"/>
  <c r="F121" i="9" s="1"/>
  <c r="I121" i="9"/>
  <c r="E122" i="9"/>
  <c r="F122" i="9" s="1"/>
  <c r="I122" i="9"/>
  <c r="E123" i="9"/>
  <c r="G123" i="9" s="1"/>
  <c r="I123" i="9"/>
  <c r="E124" i="9"/>
  <c r="F124" i="9" s="1"/>
  <c r="I124" i="9"/>
  <c r="E125" i="9"/>
  <c r="F125" i="9" s="1"/>
  <c r="I125" i="9"/>
  <c r="E126" i="9"/>
  <c r="I126" i="9"/>
  <c r="E127" i="9"/>
  <c r="F127" i="9" s="1"/>
  <c r="I127" i="9"/>
  <c r="E128" i="9"/>
  <c r="F128" i="9" s="1"/>
  <c r="I128" i="9"/>
  <c r="E129" i="9"/>
  <c r="F129" i="9" s="1"/>
  <c r="I129" i="9"/>
  <c r="E130" i="9"/>
  <c r="F130" i="9" s="1"/>
  <c r="I130" i="9"/>
  <c r="E131" i="9"/>
  <c r="G131" i="9" s="1"/>
  <c r="F131" i="9"/>
  <c r="H131" i="9" s="1"/>
  <c r="J131" i="9" s="1"/>
  <c r="I131" i="9"/>
  <c r="E132" i="9"/>
  <c r="F132" i="9" s="1"/>
  <c r="I132" i="9"/>
  <c r="E133" i="9"/>
  <c r="G133" i="9" s="1"/>
  <c r="F133" i="9"/>
  <c r="I133" i="9"/>
  <c r="E134" i="9"/>
  <c r="I134" i="9"/>
  <c r="E135" i="9"/>
  <c r="F135" i="9" s="1"/>
  <c r="I135" i="9"/>
  <c r="E136" i="9"/>
  <c r="G136" i="9" s="1"/>
  <c r="I136" i="9"/>
  <c r="E137" i="9"/>
  <c r="F137" i="9" s="1"/>
  <c r="I137" i="9"/>
  <c r="E138" i="9"/>
  <c r="D6" i="4" s="1"/>
  <c r="D11" i="4" s="1"/>
  <c r="D13" i="4" s="1"/>
  <c r="I138" i="9"/>
  <c r="E139" i="9"/>
  <c r="G139" i="9" s="1"/>
  <c r="F139" i="9"/>
  <c r="H139" i="9" s="1"/>
  <c r="J139" i="9" s="1"/>
  <c r="I139" i="9"/>
  <c r="E140" i="9"/>
  <c r="F140" i="9" s="1"/>
  <c r="I140" i="9"/>
  <c r="E141" i="9"/>
  <c r="F141" i="9" s="1"/>
  <c r="I141" i="9"/>
  <c r="E142" i="9"/>
  <c r="G142" i="9" s="1"/>
  <c r="I142" i="9"/>
  <c r="E143" i="9"/>
  <c r="I143" i="9"/>
  <c r="O144" i="9"/>
  <c r="E145" i="9"/>
  <c r="F145" i="9" s="1"/>
  <c r="I145" i="9"/>
  <c r="E146" i="9"/>
  <c r="G146" i="9" s="1"/>
  <c r="I146" i="9"/>
  <c r="E147" i="9"/>
  <c r="G147" i="9" s="1"/>
  <c r="I147" i="9"/>
  <c r="E148" i="9"/>
  <c r="F148" i="9" s="1"/>
  <c r="I148" i="9"/>
  <c r="E149" i="9"/>
  <c r="F149" i="9" s="1"/>
  <c r="I149" i="9"/>
  <c r="E150" i="9"/>
  <c r="G150" i="9" s="1"/>
  <c r="F150" i="9"/>
  <c r="H150" i="9" s="1"/>
  <c r="J150" i="9" s="1"/>
  <c r="K150" i="9" s="1"/>
  <c r="I150" i="9"/>
  <c r="E151" i="9"/>
  <c r="I151" i="9"/>
  <c r="C152" i="9"/>
  <c r="D152" i="9"/>
  <c r="L152" i="9"/>
  <c r="N152" i="9"/>
  <c r="E154" i="9"/>
  <c r="G154" i="9" s="1"/>
  <c r="I154" i="9"/>
  <c r="B44" i="1" l="1"/>
  <c r="B4" i="18" s="1"/>
  <c r="F147" i="9"/>
  <c r="H147" i="9" s="1"/>
  <c r="J147" i="9" s="1"/>
  <c r="G114" i="9"/>
  <c r="G112" i="9"/>
  <c r="H112" i="9" s="1"/>
  <c r="J112" i="9" s="1"/>
  <c r="K112" i="9" s="1"/>
  <c r="M112" i="9" s="1"/>
  <c r="O112" i="9" s="1"/>
  <c r="G109" i="9"/>
  <c r="H109" i="9" s="1"/>
  <c r="J109" i="9" s="1"/>
  <c r="G88" i="9"/>
  <c r="G40" i="9"/>
  <c r="G14" i="9"/>
  <c r="F7" i="9"/>
  <c r="H7" i="9" s="1"/>
  <c r="J7" i="9" s="1"/>
  <c r="K7" i="9" s="1"/>
  <c r="M7" i="9" s="1"/>
  <c r="O7" i="9" s="1"/>
  <c r="G124" i="9"/>
  <c r="G121" i="9"/>
  <c r="H121" i="9" s="1"/>
  <c r="J121" i="9" s="1"/>
  <c r="F43" i="9"/>
  <c r="G23" i="9"/>
  <c r="H23" i="9" s="1"/>
  <c r="J23" i="9" s="1"/>
  <c r="K23" i="9" s="1"/>
  <c r="M23" i="9" s="1"/>
  <c r="O23" i="9" s="1"/>
  <c r="F3" i="9"/>
  <c r="G149" i="9"/>
  <c r="H149" i="9" s="1"/>
  <c r="J149" i="9" s="1"/>
  <c r="G130" i="9"/>
  <c r="F57" i="9"/>
  <c r="H57" i="9" s="1"/>
  <c r="J57" i="9" s="1"/>
  <c r="F146" i="9"/>
  <c r="F136" i="9"/>
  <c r="H136" i="9" s="1"/>
  <c r="G101" i="9"/>
  <c r="H101" i="9" s="1"/>
  <c r="J101" i="9" s="1"/>
  <c r="K101" i="9" s="1"/>
  <c r="M101" i="9" s="1"/>
  <c r="O101" i="9" s="1"/>
  <c r="G80" i="9"/>
  <c r="F39" i="9"/>
  <c r="F25" i="9"/>
  <c r="H25" i="9" s="1"/>
  <c r="J25" i="9" s="1"/>
  <c r="G16" i="9"/>
  <c r="F9" i="9"/>
  <c r="G72" i="9"/>
  <c r="F49" i="9"/>
  <c r="F19" i="9"/>
  <c r="H19" i="9" s="1"/>
  <c r="J19" i="9" s="1"/>
  <c r="K19" i="9" s="1"/>
  <c r="F154" i="9"/>
  <c r="G138" i="9"/>
  <c r="G145" i="9"/>
  <c r="H145" i="9" s="1"/>
  <c r="J145" i="9" s="1"/>
  <c r="K145" i="9" s="1"/>
  <c r="F138" i="9"/>
  <c r="G129" i="9"/>
  <c r="H129" i="9" s="1"/>
  <c r="J129" i="9" s="1"/>
  <c r="G122" i="9"/>
  <c r="G96" i="9"/>
  <c r="H89" i="9"/>
  <c r="J89" i="9" s="1"/>
  <c r="K89" i="9" s="1"/>
  <c r="M89" i="9" s="1"/>
  <c r="O89" i="9" s="1"/>
  <c r="G75" i="9"/>
  <c r="G38" i="9"/>
  <c r="H38" i="9" s="1"/>
  <c r="J38" i="9" s="1"/>
  <c r="K38" i="9" s="1"/>
  <c r="M38" i="9" s="1"/>
  <c r="O38" i="9" s="1"/>
  <c r="G24" i="9"/>
  <c r="H154" i="9"/>
  <c r="H140" i="9"/>
  <c r="J140" i="9" s="1"/>
  <c r="H106" i="9"/>
  <c r="J106" i="9" s="1"/>
  <c r="K106" i="9" s="1"/>
  <c r="M106" i="9" s="1"/>
  <c r="O106" i="9" s="1"/>
  <c r="F123" i="9"/>
  <c r="F86" i="9"/>
  <c r="H86" i="9" s="1"/>
  <c r="J86" i="9" s="1"/>
  <c r="G67" i="9"/>
  <c r="F27" i="9"/>
  <c r="H27" i="9" s="1"/>
  <c r="J27" i="9" s="1"/>
  <c r="K27" i="9" s="1"/>
  <c r="H16" i="9"/>
  <c r="J16" i="9" s="1"/>
  <c r="H14" i="9"/>
  <c r="J14" i="9" s="1"/>
  <c r="G128" i="9"/>
  <c r="H128" i="9" s="1"/>
  <c r="J128" i="9" s="1"/>
  <c r="K128" i="9" s="1"/>
  <c r="M128" i="9" s="1"/>
  <c r="O128" i="9" s="1"/>
  <c r="H123" i="9"/>
  <c r="J123" i="9" s="1"/>
  <c r="G106" i="9"/>
  <c r="G104" i="9"/>
  <c r="H104" i="9" s="1"/>
  <c r="J104" i="9" s="1"/>
  <c r="K104" i="9" s="1"/>
  <c r="M104" i="9" s="1"/>
  <c r="O104" i="9" s="1"/>
  <c r="H67" i="9"/>
  <c r="J67" i="9" s="1"/>
  <c r="H39" i="9"/>
  <c r="J39" i="9" s="1"/>
  <c r="K39" i="9" s="1"/>
  <c r="M39" i="9" s="1"/>
  <c r="O39" i="9" s="1"/>
  <c r="H24" i="9"/>
  <c r="J24" i="9" s="1"/>
  <c r="H22" i="9"/>
  <c r="J22" i="9" s="1"/>
  <c r="K22" i="9" s="1"/>
  <c r="G141" i="9"/>
  <c r="G125" i="9"/>
  <c r="H125" i="9" s="1"/>
  <c r="J125" i="9" s="1"/>
  <c r="G137" i="9"/>
  <c r="H137" i="9" s="1"/>
  <c r="J137" i="9" s="1"/>
  <c r="F97" i="9"/>
  <c r="F94" i="9"/>
  <c r="H94" i="9" s="1"/>
  <c r="J94" i="9" s="1"/>
  <c r="H83" i="9"/>
  <c r="J83" i="9" s="1"/>
  <c r="H80" i="9"/>
  <c r="J80" i="9" s="1"/>
  <c r="K80" i="9" s="1"/>
  <c r="M80" i="9" s="1"/>
  <c r="O80" i="9" s="1"/>
  <c r="G48" i="9"/>
  <c r="F41" i="9"/>
  <c r="F35" i="9"/>
  <c r="H35" i="9" s="1"/>
  <c r="J35" i="9" s="1"/>
  <c r="K35" i="9" s="1"/>
  <c r="M35" i="9" s="1"/>
  <c r="O35" i="9" s="1"/>
  <c r="G32" i="9"/>
  <c r="H32" i="9" s="1"/>
  <c r="J32" i="9" s="1"/>
  <c r="H30" i="9"/>
  <c r="G15" i="9"/>
  <c r="H15" i="9" s="1"/>
  <c r="J15" i="9" s="1"/>
  <c r="F115" i="9"/>
  <c r="H115" i="9" s="1"/>
  <c r="J115" i="9" s="1"/>
  <c r="H88" i="9"/>
  <c r="J88" i="9" s="1"/>
  <c r="K88" i="9" s="1"/>
  <c r="H85" i="9"/>
  <c r="J85" i="9" s="1"/>
  <c r="F68" i="9"/>
  <c r="H68" i="9" s="1"/>
  <c r="J68" i="9" s="1"/>
  <c r="K68" i="9" s="1"/>
  <c r="M68" i="9" s="1"/>
  <c r="O68" i="9" s="1"/>
  <c r="F17" i="9"/>
  <c r="H146" i="9"/>
  <c r="J146" i="9" s="1"/>
  <c r="M146" i="9" s="1"/>
  <c r="O146" i="9" s="1"/>
  <c r="G120" i="9"/>
  <c r="H120" i="9" s="1"/>
  <c r="J120" i="9" s="1"/>
  <c r="G117" i="9"/>
  <c r="H117" i="9" s="1"/>
  <c r="J117" i="9" s="1"/>
  <c r="K117" i="9" s="1"/>
  <c r="M117" i="9" s="1"/>
  <c r="O117" i="9" s="1"/>
  <c r="H133" i="9"/>
  <c r="J133" i="9" s="1"/>
  <c r="K133" i="9" s="1"/>
  <c r="G140" i="9"/>
  <c r="F107" i="9"/>
  <c r="H107" i="9" s="1"/>
  <c r="J107" i="9" s="1"/>
  <c r="H105" i="9"/>
  <c r="J105" i="9" s="1"/>
  <c r="G93" i="9"/>
  <c r="H93" i="9" s="1"/>
  <c r="J93" i="9" s="1"/>
  <c r="K93" i="9" s="1"/>
  <c r="M93" i="9" s="1"/>
  <c r="O93" i="9" s="1"/>
  <c r="F81" i="9"/>
  <c r="H81" i="9" s="1"/>
  <c r="J81" i="9" s="1"/>
  <c r="F78" i="9"/>
  <c r="H75" i="9"/>
  <c r="J75" i="9" s="1"/>
  <c r="K75" i="9" s="1"/>
  <c r="G64" i="9"/>
  <c r="H64" i="9" s="1"/>
  <c r="J64" i="9" s="1"/>
  <c r="F31" i="9"/>
  <c r="H31" i="9" s="1"/>
  <c r="J31" i="9" s="1"/>
  <c r="F11" i="9"/>
  <c r="H11" i="9" s="1"/>
  <c r="J11" i="9" s="1"/>
  <c r="K11" i="9" s="1"/>
  <c r="G8" i="9"/>
  <c r="H8" i="9" s="1"/>
  <c r="J8" i="9" s="1"/>
  <c r="G6" i="9"/>
  <c r="H6" i="9" s="1"/>
  <c r="J6" i="9" s="1"/>
  <c r="K139" i="9"/>
  <c r="M139" i="9" s="1"/>
  <c r="O139" i="9" s="1"/>
  <c r="K123" i="9"/>
  <c r="M123" i="9"/>
  <c r="O123" i="9" s="1"/>
  <c r="K113" i="9"/>
  <c r="M113" i="9" s="1"/>
  <c r="O113" i="9" s="1"/>
  <c r="K146" i="9"/>
  <c r="K129" i="9"/>
  <c r="M129" i="9" s="1"/>
  <c r="O129" i="9" s="1"/>
  <c r="K147" i="9"/>
  <c r="M147" i="9" s="1"/>
  <c r="O147" i="9" s="1"/>
  <c r="F151" i="9"/>
  <c r="G151" i="9"/>
  <c r="F142" i="9"/>
  <c r="H142" i="9" s="1"/>
  <c r="J142" i="9" s="1"/>
  <c r="H122" i="9"/>
  <c r="J122" i="9" s="1"/>
  <c r="J154" i="9"/>
  <c r="J136" i="9"/>
  <c r="H124" i="9"/>
  <c r="J124" i="9" s="1"/>
  <c r="K131" i="9"/>
  <c r="M131" i="9" s="1"/>
  <c r="O131" i="9" s="1"/>
  <c r="F143" i="9"/>
  <c r="G143" i="9"/>
  <c r="K121" i="9"/>
  <c r="M121" i="9" s="1"/>
  <c r="O121" i="9" s="1"/>
  <c r="K85" i="9"/>
  <c r="M85" i="9" s="1"/>
  <c r="O85" i="9" s="1"/>
  <c r="K140" i="9"/>
  <c r="M140" i="9" s="1"/>
  <c r="O140" i="9" s="1"/>
  <c r="K115" i="9"/>
  <c r="M115" i="9" s="1"/>
  <c r="O115" i="9" s="1"/>
  <c r="H138" i="9"/>
  <c r="J138" i="9" s="1"/>
  <c r="F126" i="9"/>
  <c r="G126" i="9"/>
  <c r="H141" i="9"/>
  <c r="J141" i="9" s="1"/>
  <c r="M145" i="9"/>
  <c r="O145" i="9" s="1"/>
  <c r="M150" i="9"/>
  <c r="O150" i="9" s="1"/>
  <c r="G148" i="9"/>
  <c r="H148" i="9" s="1"/>
  <c r="J148" i="9" s="1"/>
  <c r="F134" i="9"/>
  <c r="G134" i="9"/>
  <c r="G132" i="9"/>
  <c r="H132" i="9" s="1"/>
  <c r="J132" i="9" s="1"/>
  <c r="H130" i="9"/>
  <c r="J130" i="9" s="1"/>
  <c r="F118" i="9"/>
  <c r="G118" i="9"/>
  <c r="G116" i="9"/>
  <c r="H116" i="9" s="1"/>
  <c r="J116" i="9" s="1"/>
  <c r="H114" i="9"/>
  <c r="J114" i="9" s="1"/>
  <c r="K105" i="9"/>
  <c r="M105" i="9" s="1"/>
  <c r="O105" i="9" s="1"/>
  <c r="G108" i="9"/>
  <c r="H108" i="9" s="1"/>
  <c r="J108" i="9" s="1"/>
  <c r="K94" i="9"/>
  <c r="M94" i="9"/>
  <c r="O94" i="9" s="1"/>
  <c r="K57" i="9"/>
  <c r="M57" i="9" s="1"/>
  <c r="O57" i="9" s="1"/>
  <c r="F82" i="9"/>
  <c r="G82" i="9"/>
  <c r="F66" i="9"/>
  <c r="G66" i="9"/>
  <c r="H43" i="9"/>
  <c r="J43" i="9" s="1"/>
  <c r="H33" i="9"/>
  <c r="J33" i="9" s="1"/>
  <c r="F26" i="9"/>
  <c r="G26" i="9"/>
  <c r="H9" i="9"/>
  <c r="J9" i="9" s="1"/>
  <c r="F74" i="9"/>
  <c r="G74" i="9"/>
  <c r="H96" i="9"/>
  <c r="J96" i="9" s="1"/>
  <c r="K81" i="9"/>
  <c r="M81" i="9" s="1"/>
  <c r="O81" i="9" s="1"/>
  <c r="H48" i="9"/>
  <c r="J48" i="9" s="1"/>
  <c r="H40" i="9"/>
  <c r="J40" i="9" s="1"/>
  <c r="M27" i="9"/>
  <c r="O27" i="9" s="1"/>
  <c r="K25" i="9"/>
  <c r="M25" i="9" s="1"/>
  <c r="O25" i="9" s="1"/>
  <c r="F98" i="9"/>
  <c r="G98" i="9"/>
  <c r="H78" i="9"/>
  <c r="J78" i="9" s="1"/>
  <c r="H56" i="9"/>
  <c r="J56" i="9" s="1"/>
  <c r="J30" i="9"/>
  <c r="F18" i="9"/>
  <c r="G18" i="9"/>
  <c r="K86" i="9"/>
  <c r="M86" i="9" s="1"/>
  <c r="O86" i="9" s="1"/>
  <c r="G135" i="9"/>
  <c r="H135" i="9" s="1"/>
  <c r="J135" i="9" s="1"/>
  <c r="G127" i="9"/>
  <c r="H127" i="9" s="1"/>
  <c r="J127" i="9" s="1"/>
  <c r="G119" i="9"/>
  <c r="H119" i="9" s="1"/>
  <c r="J119" i="9" s="1"/>
  <c r="G111" i="9"/>
  <c r="H111" i="9" s="1"/>
  <c r="J111" i="9" s="1"/>
  <c r="G103" i="9"/>
  <c r="H103" i="9" s="1"/>
  <c r="J103" i="9" s="1"/>
  <c r="F50" i="9"/>
  <c r="H50" i="9" s="1"/>
  <c r="J50" i="9" s="1"/>
  <c r="G50" i="9"/>
  <c r="F42" i="9"/>
  <c r="G42" i="9"/>
  <c r="K16" i="9"/>
  <c r="M16" i="9"/>
  <c r="O16" i="9" s="1"/>
  <c r="K14" i="9"/>
  <c r="M14" i="9" s="1"/>
  <c r="O14" i="9" s="1"/>
  <c r="G110" i="9"/>
  <c r="H110" i="9" s="1"/>
  <c r="J110" i="9" s="1"/>
  <c r="G102" i="9"/>
  <c r="H102" i="9" s="1"/>
  <c r="J102" i="9" s="1"/>
  <c r="F90" i="9"/>
  <c r="G90" i="9"/>
  <c r="H72" i="9"/>
  <c r="J72" i="9" s="1"/>
  <c r="F58" i="9"/>
  <c r="G58" i="9"/>
  <c r="H17" i="9"/>
  <c r="J17" i="9" s="1"/>
  <c r="H3" i="9"/>
  <c r="H97" i="9"/>
  <c r="J97" i="9" s="1"/>
  <c r="H49" i="9"/>
  <c r="J49" i="9" s="1"/>
  <c r="H41" i="9"/>
  <c r="J41" i="9" s="1"/>
  <c r="F34" i="9"/>
  <c r="G34" i="9"/>
  <c r="K31" i="9"/>
  <c r="M31" i="9" s="1"/>
  <c r="O31" i="9" s="1"/>
  <c r="K24" i="9"/>
  <c r="M24" i="9" s="1"/>
  <c r="O24" i="9" s="1"/>
  <c r="F10" i="9"/>
  <c r="G10" i="9"/>
  <c r="G95" i="9"/>
  <c r="H95" i="9" s="1"/>
  <c r="J95" i="9" s="1"/>
  <c r="G87" i="9"/>
  <c r="H87" i="9" s="1"/>
  <c r="J87" i="9" s="1"/>
  <c r="G79" i="9"/>
  <c r="H79" i="9" s="1"/>
  <c r="J79" i="9" s="1"/>
  <c r="G71" i="9"/>
  <c r="H71" i="9" s="1"/>
  <c r="J71" i="9" s="1"/>
  <c r="G63" i="9"/>
  <c r="H63" i="9" s="1"/>
  <c r="J63" i="9" s="1"/>
  <c r="G55" i="9"/>
  <c r="H55" i="9" s="1"/>
  <c r="J55" i="9" s="1"/>
  <c r="G47" i="9"/>
  <c r="H47" i="9" s="1"/>
  <c r="J47" i="9" s="1"/>
  <c r="G70" i="9"/>
  <c r="H70" i="9" s="1"/>
  <c r="J70" i="9" s="1"/>
  <c r="G62" i="9"/>
  <c r="H62" i="9" s="1"/>
  <c r="J62" i="9" s="1"/>
  <c r="G54" i="9"/>
  <c r="H54" i="9" s="1"/>
  <c r="J54" i="9" s="1"/>
  <c r="G46" i="9"/>
  <c r="H46" i="9" s="1"/>
  <c r="J46" i="9" s="1"/>
  <c r="G77" i="9"/>
  <c r="H77" i="9" s="1"/>
  <c r="J77" i="9" s="1"/>
  <c r="G69" i="9"/>
  <c r="H69" i="9" s="1"/>
  <c r="J69" i="9" s="1"/>
  <c r="G61" i="9"/>
  <c r="H61" i="9" s="1"/>
  <c r="J61" i="9" s="1"/>
  <c r="G53" i="9"/>
  <c r="H53" i="9" s="1"/>
  <c r="J53" i="9" s="1"/>
  <c r="G45" i="9"/>
  <c r="H45" i="9" s="1"/>
  <c r="J45" i="9" s="1"/>
  <c r="G37" i="9"/>
  <c r="H37" i="9" s="1"/>
  <c r="J37" i="9" s="1"/>
  <c r="G29" i="9"/>
  <c r="H29" i="9" s="1"/>
  <c r="J29" i="9" s="1"/>
  <c r="G21" i="9"/>
  <c r="H21" i="9" s="1"/>
  <c r="J21" i="9" s="1"/>
  <c r="G13" i="9"/>
  <c r="H13" i="9" s="1"/>
  <c r="J13" i="9" s="1"/>
  <c r="G5" i="9"/>
  <c r="H5" i="9" s="1"/>
  <c r="J5" i="9" s="1"/>
  <c r="G100" i="9"/>
  <c r="H100" i="9" s="1"/>
  <c r="J100" i="9" s="1"/>
  <c r="G92" i="9"/>
  <c r="H92" i="9" s="1"/>
  <c r="J92" i="9" s="1"/>
  <c r="G84" i="9"/>
  <c r="H84" i="9" s="1"/>
  <c r="J84" i="9" s="1"/>
  <c r="G76" i="9"/>
  <c r="H76" i="9" s="1"/>
  <c r="J76" i="9" s="1"/>
  <c r="G60" i="9"/>
  <c r="H60" i="9" s="1"/>
  <c r="J60" i="9" s="1"/>
  <c r="G52" i="9"/>
  <c r="H52" i="9" s="1"/>
  <c r="J52" i="9" s="1"/>
  <c r="G44" i="9"/>
  <c r="H44" i="9" s="1"/>
  <c r="J44" i="9" s="1"/>
  <c r="G36" i="9"/>
  <c r="H36" i="9" s="1"/>
  <c r="J36" i="9" s="1"/>
  <c r="G28" i="9"/>
  <c r="H28" i="9" s="1"/>
  <c r="J28" i="9" s="1"/>
  <c r="G20" i="9"/>
  <c r="H20" i="9" s="1"/>
  <c r="J20" i="9" s="1"/>
  <c r="G12" i="9"/>
  <c r="H12" i="9" s="1"/>
  <c r="J12" i="9" s="1"/>
  <c r="G4" i="9"/>
  <c r="H4" i="9" s="1"/>
  <c r="J4" i="9" s="1"/>
  <c r="G99" i="9"/>
  <c r="H99" i="9" s="1"/>
  <c r="J99" i="9" s="1"/>
  <c r="G91" i="9"/>
  <c r="H91" i="9" s="1"/>
  <c r="J91" i="9" s="1"/>
  <c r="G59" i="9"/>
  <c r="H59" i="9" s="1"/>
  <c r="J59" i="9" s="1"/>
  <c r="G51" i="9"/>
  <c r="H51" i="9" s="1"/>
  <c r="J51" i="9" s="1"/>
  <c r="E6" i="8"/>
  <c r="G6" i="8" s="1"/>
  <c r="I6" i="8"/>
  <c r="E7" i="8"/>
  <c r="F7" i="8" s="1"/>
  <c r="I7" i="8"/>
  <c r="E8" i="8"/>
  <c r="F8" i="8" s="1"/>
  <c r="I8" i="8"/>
  <c r="E9" i="8"/>
  <c r="F9" i="8" s="1"/>
  <c r="I9" i="8"/>
  <c r="E10" i="8"/>
  <c r="G10" i="8" s="1"/>
  <c r="F10" i="8"/>
  <c r="H10" i="8" s="1"/>
  <c r="I10" i="8"/>
  <c r="E11" i="8"/>
  <c r="F11" i="8" s="1"/>
  <c r="I11" i="8"/>
  <c r="E12" i="8"/>
  <c r="G12" i="8" s="1"/>
  <c r="I12" i="8"/>
  <c r="E13" i="8"/>
  <c r="I13" i="8"/>
  <c r="E14" i="8"/>
  <c r="G14" i="8" s="1"/>
  <c r="I14" i="8"/>
  <c r="E15" i="8"/>
  <c r="F15" i="8" s="1"/>
  <c r="I15" i="8"/>
  <c r="E16" i="8"/>
  <c r="F16" i="8" s="1"/>
  <c r="I16" i="8"/>
  <c r="E17" i="8"/>
  <c r="G17" i="8" s="1"/>
  <c r="F17" i="8"/>
  <c r="I17" i="8"/>
  <c r="E18" i="8"/>
  <c r="G18" i="8" s="1"/>
  <c r="F18" i="8"/>
  <c r="I18" i="8"/>
  <c r="E19" i="8"/>
  <c r="F19" i="8" s="1"/>
  <c r="I19" i="8"/>
  <c r="E20" i="8"/>
  <c r="G20" i="8" s="1"/>
  <c r="F20" i="8"/>
  <c r="H20" i="8" s="1"/>
  <c r="I20" i="8"/>
  <c r="E21" i="8"/>
  <c r="I21" i="8"/>
  <c r="E22" i="8"/>
  <c r="G22" i="8" s="1"/>
  <c r="I22" i="8"/>
  <c r="E23" i="8"/>
  <c r="F23" i="8" s="1"/>
  <c r="I23" i="8"/>
  <c r="E24" i="8"/>
  <c r="F24" i="8" s="1"/>
  <c r="I24" i="8"/>
  <c r="E25" i="8"/>
  <c r="F25" i="8" s="1"/>
  <c r="G25" i="8"/>
  <c r="I25" i="8"/>
  <c r="E26" i="8"/>
  <c r="G26" i="8" s="1"/>
  <c r="F26" i="8"/>
  <c r="H26" i="8" s="1"/>
  <c r="J26" i="8" s="1"/>
  <c r="I26" i="8"/>
  <c r="E27" i="8"/>
  <c r="F27" i="8" s="1"/>
  <c r="I27" i="8"/>
  <c r="E28" i="8"/>
  <c r="G28" i="8" s="1"/>
  <c r="F28" i="8"/>
  <c r="H28" i="8" s="1"/>
  <c r="I28" i="8"/>
  <c r="E29" i="8"/>
  <c r="I29" i="8"/>
  <c r="E30" i="8"/>
  <c r="G30" i="8" s="1"/>
  <c r="I30" i="8"/>
  <c r="E31" i="8"/>
  <c r="F31" i="8" s="1"/>
  <c r="I31" i="8"/>
  <c r="E32" i="8"/>
  <c r="F32" i="8" s="1"/>
  <c r="I32" i="8"/>
  <c r="E33" i="8"/>
  <c r="F33" i="8" s="1"/>
  <c r="G33" i="8"/>
  <c r="I33" i="8"/>
  <c r="E34" i="8"/>
  <c r="G34" i="8" s="1"/>
  <c r="I34" i="8"/>
  <c r="E35" i="8"/>
  <c r="F35" i="8" s="1"/>
  <c r="I35" i="8"/>
  <c r="E36" i="8"/>
  <c r="G36" i="8" s="1"/>
  <c r="I36" i="8"/>
  <c r="E37" i="8"/>
  <c r="I37" i="8"/>
  <c r="E38" i="8"/>
  <c r="G38" i="8" s="1"/>
  <c r="I38" i="8"/>
  <c r="E39" i="8"/>
  <c r="F39" i="8" s="1"/>
  <c r="I39" i="8"/>
  <c r="E40" i="8"/>
  <c r="F40" i="8" s="1"/>
  <c r="I40" i="8"/>
  <c r="E41" i="8"/>
  <c r="F41" i="8" s="1"/>
  <c r="I41" i="8"/>
  <c r="E42" i="8"/>
  <c r="G42" i="8" s="1"/>
  <c r="I42" i="8"/>
  <c r="E43" i="8"/>
  <c r="F43" i="8" s="1"/>
  <c r="G43" i="8"/>
  <c r="I43" i="8"/>
  <c r="E44" i="8"/>
  <c r="G44" i="8" s="1"/>
  <c r="I44" i="8"/>
  <c r="E45" i="8"/>
  <c r="I45" i="8"/>
  <c r="E46" i="8"/>
  <c r="F46" i="8" s="1"/>
  <c r="G46" i="8"/>
  <c r="I46" i="8"/>
  <c r="E47" i="8"/>
  <c r="F47" i="8" s="1"/>
  <c r="I47" i="8"/>
  <c r="E48" i="8"/>
  <c r="F48" i="8" s="1"/>
  <c r="G48" i="8"/>
  <c r="I48" i="8"/>
  <c r="E49" i="8"/>
  <c r="F49" i="8" s="1"/>
  <c r="I49" i="8"/>
  <c r="E50" i="8"/>
  <c r="F50" i="8" s="1"/>
  <c r="I50" i="8"/>
  <c r="E51" i="8"/>
  <c r="F51" i="8" s="1"/>
  <c r="I51" i="8"/>
  <c r="E52" i="8"/>
  <c r="G52" i="8" s="1"/>
  <c r="I52" i="8"/>
  <c r="E53" i="8"/>
  <c r="I53" i="8"/>
  <c r="E54" i="8"/>
  <c r="G54" i="8" s="1"/>
  <c r="I54" i="8"/>
  <c r="E55" i="8"/>
  <c r="F55" i="8" s="1"/>
  <c r="I55" i="8"/>
  <c r="E56" i="8"/>
  <c r="F56" i="8" s="1"/>
  <c r="I56" i="8"/>
  <c r="E57" i="8"/>
  <c r="F57" i="8" s="1"/>
  <c r="I57" i="8"/>
  <c r="E58" i="8"/>
  <c r="F58" i="8" s="1"/>
  <c r="I58" i="8"/>
  <c r="E59" i="8"/>
  <c r="F59" i="8" s="1"/>
  <c r="I59" i="8"/>
  <c r="E60" i="8"/>
  <c r="G60" i="8" s="1"/>
  <c r="I60" i="8"/>
  <c r="E61" i="8"/>
  <c r="I61" i="8"/>
  <c r="E62" i="8"/>
  <c r="F62" i="8" s="1"/>
  <c r="I62" i="8"/>
  <c r="E63" i="8"/>
  <c r="F63" i="8" s="1"/>
  <c r="I63" i="8"/>
  <c r="E64" i="8"/>
  <c r="F64" i="8" s="1"/>
  <c r="I64" i="8"/>
  <c r="E65" i="8"/>
  <c r="F65" i="8" s="1"/>
  <c r="I65" i="8"/>
  <c r="E66" i="8"/>
  <c r="F66" i="8" s="1"/>
  <c r="I66" i="8"/>
  <c r="E67" i="8"/>
  <c r="F67" i="8" s="1"/>
  <c r="I67" i="8"/>
  <c r="E68" i="8"/>
  <c r="G68" i="8" s="1"/>
  <c r="I68" i="8"/>
  <c r="O68" i="8"/>
  <c r="E69" i="8"/>
  <c r="I69" i="8"/>
  <c r="E70" i="8"/>
  <c r="F70" i="8" s="1"/>
  <c r="I70" i="8"/>
  <c r="E71" i="8"/>
  <c r="F71" i="8" s="1"/>
  <c r="I71" i="8"/>
  <c r="E72" i="8"/>
  <c r="F72" i="8" s="1"/>
  <c r="I72" i="8"/>
  <c r="E73" i="8"/>
  <c r="F73" i="8" s="1"/>
  <c r="I73" i="8"/>
  <c r="E74" i="8"/>
  <c r="F74" i="8" s="1"/>
  <c r="I74" i="8"/>
  <c r="E75" i="8"/>
  <c r="F75" i="8" s="1"/>
  <c r="I75" i="8"/>
  <c r="E76" i="8"/>
  <c r="G76" i="8" s="1"/>
  <c r="F76" i="8"/>
  <c r="I76" i="8"/>
  <c r="O76" i="8"/>
  <c r="E77" i="8"/>
  <c r="I77" i="8"/>
  <c r="E78" i="8"/>
  <c r="F78" i="8" s="1"/>
  <c r="I78" i="8"/>
  <c r="E79" i="8"/>
  <c r="F79" i="8" s="1"/>
  <c r="I79" i="8"/>
  <c r="E80" i="8"/>
  <c r="F80" i="8" s="1"/>
  <c r="I80" i="8"/>
  <c r="E81" i="8"/>
  <c r="F81" i="8" s="1"/>
  <c r="I81" i="8"/>
  <c r="E82" i="8"/>
  <c r="F82" i="8" s="1"/>
  <c r="I82" i="8"/>
  <c r="E83" i="8"/>
  <c r="F83" i="8" s="1"/>
  <c r="G83" i="8"/>
  <c r="I83" i="8"/>
  <c r="E84" i="8"/>
  <c r="G84" i="8" s="1"/>
  <c r="F84" i="8"/>
  <c r="I84" i="8"/>
  <c r="E85" i="8"/>
  <c r="I85" i="8"/>
  <c r="E86" i="8"/>
  <c r="F86" i="8" s="1"/>
  <c r="G86" i="8"/>
  <c r="I86" i="8"/>
  <c r="E87" i="8"/>
  <c r="F87" i="8" s="1"/>
  <c r="I87" i="8"/>
  <c r="E88" i="8"/>
  <c r="F88" i="8" s="1"/>
  <c r="I88" i="8"/>
  <c r="E89" i="8"/>
  <c r="G89" i="8" s="1"/>
  <c r="I89" i="8"/>
  <c r="E90" i="8"/>
  <c r="F90" i="8" s="1"/>
  <c r="I90" i="8"/>
  <c r="E91" i="8"/>
  <c r="F91" i="8" s="1"/>
  <c r="I91" i="8"/>
  <c r="E92" i="8"/>
  <c r="G92" i="8" s="1"/>
  <c r="F92" i="8"/>
  <c r="H92" i="8" s="1"/>
  <c r="I92" i="8"/>
  <c r="E93" i="8"/>
  <c r="I93" i="8"/>
  <c r="E94" i="8"/>
  <c r="F94" i="8" s="1"/>
  <c r="I94" i="8"/>
  <c r="E95" i="8"/>
  <c r="G95" i="8" s="1"/>
  <c r="I95" i="8"/>
  <c r="E96" i="8"/>
  <c r="F96" i="8" s="1"/>
  <c r="I96" i="8"/>
  <c r="E97" i="8"/>
  <c r="F97" i="8" s="1"/>
  <c r="I97" i="8"/>
  <c r="E98" i="8"/>
  <c r="F98" i="8" s="1"/>
  <c r="I98" i="8"/>
  <c r="E99" i="8"/>
  <c r="F99" i="8" s="1"/>
  <c r="G99" i="8"/>
  <c r="I99" i="8"/>
  <c r="E100" i="8"/>
  <c r="G100" i="8" s="1"/>
  <c r="I100" i="8"/>
  <c r="E101" i="8"/>
  <c r="I101" i="8"/>
  <c r="E102" i="8"/>
  <c r="F102" i="8" s="1"/>
  <c r="I102" i="8"/>
  <c r="E103" i="8"/>
  <c r="F103" i="8" s="1"/>
  <c r="G103" i="8"/>
  <c r="I103" i="8"/>
  <c r="E104" i="8"/>
  <c r="F104" i="8" s="1"/>
  <c r="I104" i="8"/>
  <c r="E105" i="8"/>
  <c r="F105" i="8" s="1"/>
  <c r="I105" i="8"/>
  <c r="E106" i="8"/>
  <c r="G106" i="8" s="1"/>
  <c r="I106" i="8"/>
  <c r="E107" i="8"/>
  <c r="F107" i="8" s="1"/>
  <c r="I107" i="8"/>
  <c r="E108" i="8"/>
  <c r="F108" i="8" s="1"/>
  <c r="I108" i="8"/>
  <c r="E109" i="8"/>
  <c r="F109" i="8" s="1"/>
  <c r="I109" i="8"/>
  <c r="E110" i="8"/>
  <c r="G110" i="8" s="1"/>
  <c r="I110" i="8"/>
  <c r="E111" i="8"/>
  <c r="F111" i="8" s="1"/>
  <c r="I111" i="8"/>
  <c r="E112" i="8"/>
  <c r="F112" i="8" s="1"/>
  <c r="I112" i="8"/>
  <c r="E113" i="8"/>
  <c r="F113" i="8" s="1"/>
  <c r="G113" i="8"/>
  <c r="I113" i="8"/>
  <c r="E114" i="8"/>
  <c r="G114" i="8" s="1"/>
  <c r="F114" i="8"/>
  <c r="I114" i="8"/>
  <c r="E115" i="8"/>
  <c r="F115" i="8" s="1"/>
  <c r="I115" i="8"/>
  <c r="E116" i="8"/>
  <c r="G116" i="8" s="1"/>
  <c r="F116" i="8"/>
  <c r="I116" i="8"/>
  <c r="E117" i="8"/>
  <c r="F117" i="8" s="1"/>
  <c r="I117" i="8"/>
  <c r="E118" i="8"/>
  <c r="G118" i="8" s="1"/>
  <c r="I118" i="8"/>
  <c r="E119" i="8"/>
  <c r="F119" i="8" s="1"/>
  <c r="G119" i="8"/>
  <c r="I119" i="8"/>
  <c r="E120" i="8"/>
  <c r="G120" i="8" s="1"/>
  <c r="F120" i="8"/>
  <c r="H120" i="8" s="1"/>
  <c r="J120" i="8" s="1"/>
  <c r="I120" i="8"/>
  <c r="E121" i="8"/>
  <c r="F121" i="8" s="1"/>
  <c r="I121" i="8"/>
  <c r="E122" i="8"/>
  <c r="G122" i="8" s="1"/>
  <c r="I122" i="8"/>
  <c r="E123" i="8"/>
  <c r="F123" i="8" s="1"/>
  <c r="I123" i="8"/>
  <c r="E124" i="8"/>
  <c r="G124" i="8" s="1"/>
  <c r="I124" i="8"/>
  <c r="E125" i="8"/>
  <c r="F125" i="8" s="1"/>
  <c r="I125" i="8"/>
  <c r="E126" i="8"/>
  <c r="G126" i="8" s="1"/>
  <c r="F126" i="8"/>
  <c r="I126" i="8"/>
  <c r="E127" i="8"/>
  <c r="F127" i="8" s="1"/>
  <c r="I127" i="8"/>
  <c r="E128" i="8"/>
  <c r="F128" i="8" s="1"/>
  <c r="I128" i="8"/>
  <c r="E129" i="8"/>
  <c r="F129" i="8" s="1"/>
  <c r="I129" i="8"/>
  <c r="E130" i="8"/>
  <c r="G130" i="8" s="1"/>
  <c r="I130" i="8"/>
  <c r="E131" i="8"/>
  <c r="F131" i="8" s="1"/>
  <c r="I131" i="8"/>
  <c r="E132" i="8"/>
  <c r="F132" i="8" s="1"/>
  <c r="I132" i="8"/>
  <c r="E133" i="8"/>
  <c r="F133" i="8" s="1"/>
  <c r="I133" i="8"/>
  <c r="E134" i="8"/>
  <c r="G134" i="8" s="1"/>
  <c r="I134" i="8"/>
  <c r="E135" i="8"/>
  <c r="F135" i="8" s="1"/>
  <c r="G135" i="8"/>
  <c r="I135" i="8"/>
  <c r="E136" i="8"/>
  <c r="F136" i="8" s="1"/>
  <c r="I136" i="8"/>
  <c r="E137" i="8"/>
  <c r="F137" i="8" s="1"/>
  <c r="G137" i="8"/>
  <c r="I137" i="8"/>
  <c r="E138" i="8"/>
  <c r="G138" i="8" s="1"/>
  <c r="I138" i="8"/>
  <c r="E139" i="8"/>
  <c r="F139" i="8" s="1"/>
  <c r="I139" i="8"/>
  <c r="E140" i="8"/>
  <c r="F140" i="8" s="1"/>
  <c r="I140" i="8"/>
  <c r="E141" i="8"/>
  <c r="I141" i="8"/>
  <c r="E142" i="8"/>
  <c r="G142" i="8" s="1"/>
  <c r="I142" i="8"/>
  <c r="E143" i="8"/>
  <c r="F143" i="8" s="1"/>
  <c r="G143" i="8"/>
  <c r="I143" i="8"/>
  <c r="E144" i="8"/>
  <c r="F144" i="8"/>
  <c r="H144" i="8" s="1"/>
  <c r="J144" i="8" s="1"/>
  <c r="G144" i="8"/>
  <c r="I144" i="8"/>
  <c r="E145" i="8"/>
  <c r="F145" i="8" s="1"/>
  <c r="G145" i="8"/>
  <c r="I145" i="8"/>
  <c r="E146" i="8"/>
  <c r="G146" i="8" s="1"/>
  <c r="F146" i="8"/>
  <c r="H146" i="8" s="1"/>
  <c r="I146" i="8"/>
  <c r="E147" i="8"/>
  <c r="F147" i="8" s="1"/>
  <c r="I147" i="8"/>
  <c r="O147" i="8"/>
  <c r="E148" i="8"/>
  <c r="F148" i="8" s="1"/>
  <c r="I148" i="8"/>
  <c r="E149" i="8"/>
  <c r="F149" i="8" s="1"/>
  <c r="I149" i="8"/>
  <c r="E150" i="8"/>
  <c r="G150" i="8" s="1"/>
  <c r="I150" i="8"/>
  <c r="E151" i="8"/>
  <c r="F151" i="8" s="1"/>
  <c r="I151" i="8"/>
  <c r="E152" i="8"/>
  <c r="G152" i="8" s="1"/>
  <c r="F152" i="8"/>
  <c r="H152" i="8" s="1"/>
  <c r="I152" i="8"/>
  <c r="E153" i="8"/>
  <c r="F153" i="8" s="1"/>
  <c r="I153" i="8"/>
  <c r="E154" i="8"/>
  <c r="G154" i="8" s="1"/>
  <c r="I154" i="8"/>
  <c r="C155" i="8"/>
  <c r="D155" i="8"/>
  <c r="L155" i="8"/>
  <c r="N155" i="8"/>
  <c r="O157" i="8"/>
  <c r="J92" i="8" l="1"/>
  <c r="J10" i="8"/>
  <c r="K149" i="9"/>
  <c r="M149" i="9" s="1"/>
  <c r="O149" i="9" s="1"/>
  <c r="K109" i="9"/>
  <c r="M109" i="9"/>
  <c r="O109" i="9" s="1"/>
  <c r="F150" i="8"/>
  <c r="F142" i="8"/>
  <c r="G136" i="8"/>
  <c r="G108" i="8"/>
  <c r="H108" i="8" s="1"/>
  <c r="J108" i="8" s="1"/>
  <c r="G105" i="8"/>
  <c r="G102" i="8"/>
  <c r="F95" i="8"/>
  <c r="F60" i="8"/>
  <c r="H60" i="8" s="1"/>
  <c r="J60" i="8" s="1"/>
  <c r="G57" i="8"/>
  <c r="H136" i="8"/>
  <c r="J136" i="8" s="1"/>
  <c r="F122" i="8"/>
  <c r="H122" i="8" s="1"/>
  <c r="J122" i="8" s="1"/>
  <c r="G111" i="8"/>
  <c r="H111" i="8" s="1"/>
  <c r="J111" i="8" s="1"/>
  <c r="K111" i="8" s="1"/>
  <c r="M111" i="8" s="1"/>
  <c r="O111" i="8" s="1"/>
  <c r="G67" i="8"/>
  <c r="F12" i="8"/>
  <c r="H12" i="8" s="1"/>
  <c r="J12" i="8" s="1"/>
  <c r="M22" i="9"/>
  <c r="O22" i="9" s="1"/>
  <c r="J152" i="8"/>
  <c r="F141" i="8"/>
  <c r="C6" i="4"/>
  <c r="C11" i="4" s="1"/>
  <c r="C13" i="4" s="1"/>
  <c r="G59" i="8"/>
  <c r="H25" i="8"/>
  <c r="J25" i="8" s="1"/>
  <c r="K25" i="8" s="1"/>
  <c r="M25" i="8" s="1"/>
  <c r="O25" i="8" s="1"/>
  <c r="H18" i="8"/>
  <c r="J18" i="8" s="1"/>
  <c r="F124" i="8"/>
  <c r="G121" i="8"/>
  <c r="G56" i="8"/>
  <c r="F14" i="8"/>
  <c r="G11" i="8"/>
  <c r="G140" i="8"/>
  <c r="G112" i="8"/>
  <c r="H112" i="8" s="1"/>
  <c r="J112" i="8" s="1"/>
  <c r="M88" i="9"/>
  <c r="O88" i="9" s="1"/>
  <c r="F154" i="8"/>
  <c r="H154" i="8" s="1"/>
  <c r="J154" i="8" s="1"/>
  <c r="F134" i="8"/>
  <c r="F89" i="8"/>
  <c r="M19" i="9"/>
  <c r="O19" i="9" s="1"/>
  <c r="M11" i="9"/>
  <c r="O11" i="9" s="1"/>
  <c r="K6" i="9"/>
  <c r="M6" i="9"/>
  <c r="O6" i="9" s="1"/>
  <c r="K32" i="9"/>
  <c r="M32" i="9" s="1"/>
  <c r="O32" i="9" s="1"/>
  <c r="K8" i="9"/>
  <c r="M8" i="9" s="1"/>
  <c r="O8" i="9" s="1"/>
  <c r="K137" i="9"/>
  <c r="M137" i="9" s="1"/>
  <c r="O137" i="9" s="1"/>
  <c r="K125" i="9"/>
  <c r="M125" i="9" s="1"/>
  <c r="O125" i="9" s="1"/>
  <c r="K64" i="9"/>
  <c r="M64" i="9" s="1"/>
  <c r="O64" i="9" s="1"/>
  <c r="K15" i="9"/>
  <c r="M15" i="9"/>
  <c r="O15" i="9" s="1"/>
  <c r="K67" i="9"/>
  <c r="M67" i="9"/>
  <c r="O67" i="9" s="1"/>
  <c r="H98" i="9"/>
  <c r="J98" i="9" s="1"/>
  <c r="H66" i="9"/>
  <c r="J66" i="9" s="1"/>
  <c r="H34" i="9"/>
  <c r="J34" i="9" s="1"/>
  <c r="M34" i="9" s="1"/>
  <c r="O34" i="9" s="1"/>
  <c r="K83" i="9"/>
  <c r="M83" i="9"/>
  <c r="O83" i="9" s="1"/>
  <c r="M75" i="9"/>
  <c r="O75" i="9" s="1"/>
  <c r="M133" i="9"/>
  <c r="O133" i="9" s="1"/>
  <c r="K51" i="9"/>
  <c r="M51" i="9" s="1"/>
  <c r="O51" i="9" s="1"/>
  <c r="K13" i="9"/>
  <c r="M13" i="9" s="1"/>
  <c r="O13" i="9" s="1"/>
  <c r="K77" i="9"/>
  <c r="M77" i="9"/>
  <c r="O77" i="9" s="1"/>
  <c r="K110" i="9"/>
  <c r="M110" i="9"/>
  <c r="O110" i="9" s="1"/>
  <c r="K135" i="9"/>
  <c r="M135" i="9"/>
  <c r="O135" i="9" s="1"/>
  <c r="K148" i="9"/>
  <c r="M148" i="9" s="1"/>
  <c r="O148" i="9" s="1"/>
  <c r="K28" i="9"/>
  <c r="M28" i="9" s="1"/>
  <c r="O28" i="9" s="1"/>
  <c r="K102" i="9"/>
  <c r="M102" i="9"/>
  <c r="O102" i="9" s="1"/>
  <c r="K91" i="9"/>
  <c r="M91" i="9"/>
  <c r="O91" i="9" s="1"/>
  <c r="K21" i="9"/>
  <c r="M21" i="9" s="1"/>
  <c r="O21" i="9" s="1"/>
  <c r="K116" i="9"/>
  <c r="M116" i="9" s="1"/>
  <c r="O116" i="9" s="1"/>
  <c r="K99" i="9"/>
  <c r="M99" i="9" s="1"/>
  <c r="O99" i="9" s="1"/>
  <c r="K60" i="9"/>
  <c r="M60" i="9" s="1"/>
  <c r="O60" i="9" s="1"/>
  <c r="K29" i="9"/>
  <c r="M29" i="9" s="1"/>
  <c r="O29" i="9" s="1"/>
  <c r="K54" i="9"/>
  <c r="M54" i="9" s="1"/>
  <c r="O54" i="9" s="1"/>
  <c r="K87" i="9"/>
  <c r="M87" i="9" s="1"/>
  <c r="O87" i="9" s="1"/>
  <c r="K36" i="9"/>
  <c r="M36" i="9" s="1"/>
  <c r="O36" i="9" s="1"/>
  <c r="K4" i="9"/>
  <c r="M4" i="9" s="1"/>
  <c r="O4" i="9" s="1"/>
  <c r="K76" i="9"/>
  <c r="M76" i="9" s="1"/>
  <c r="O76" i="9" s="1"/>
  <c r="K119" i="9"/>
  <c r="M119" i="9"/>
  <c r="O119" i="9" s="1"/>
  <c r="K5" i="9"/>
  <c r="M5" i="9"/>
  <c r="O5" i="9" s="1"/>
  <c r="K12" i="9"/>
  <c r="M12" i="9" s="1"/>
  <c r="O12" i="9" s="1"/>
  <c r="K84" i="9"/>
  <c r="M84" i="9" s="1"/>
  <c r="O84" i="9" s="1"/>
  <c r="K45" i="9"/>
  <c r="M45" i="9"/>
  <c r="O45" i="9" s="1"/>
  <c r="K103" i="9"/>
  <c r="M103" i="9"/>
  <c r="O103" i="9" s="1"/>
  <c r="K61" i="9"/>
  <c r="M61" i="9" s="1"/>
  <c r="O61" i="9" s="1"/>
  <c r="K63" i="9"/>
  <c r="M63" i="9" s="1"/>
  <c r="O63" i="9" s="1"/>
  <c r="K127" i="9"/>
  <c r="M127" i="9" s="1"/>
  <c r="O127" i="9" s="1"/>
  <c r="K20" i="9"/>
  <c r="M20" i="9" s="1"/>
  <c r="O20" i="9" s="1"/>
  <c r="K92" i="9"/>
  <c r="M92" i="9" s="1"/>
  <c r="O92" i="9" s="1"/>
  <c r="K53" i="9"/>
  <c r="M53" i="9" s="1"/>
  <c r="O53" i="9" s="1"/>
  <c r="K111" i="9"/>
  <c r="M111" i="9" s="1"/>
  <c r="O111" i="9" s="1"/>
  <c r="K108" i="9"/>
  <c r="M108" i="9" s="1"/>
  <c r="O108" i="9" s="1"/>
  <c r="K132" i="9"/>
  <c r="M132" i="9" s="1"/>
  <c r="O132" i="9" s="1"/>
  <c r="K59" i="9"/>
  <c r="M59" i="9" s="1"/>
  <c r="O59" i="9" s="1"/>
  <c r="K142" i="9"/>
  <c r="M142" i="9" s="1"/>
  <c r="O142" i="9" s="1"/>
  <c r="K52" i="9"/>
  <c r="M52" i="9" s="1"/>
  <c r="O52" i="9" s="1"/>
  <c r="K79" i="9"/>
  <c r="M79" i="9"/>
  <c r="O79" i="9" s="1"/>
  <c r="K71" i="9"/>
  <c r="M71" i="9" s="1"/>
  <c r="O71" i="9" s="1"/>
  <c r="K34" i="9"/>
  <c r="J3" i="9"/>
  <c r="K30" i="9"/>
  <c r="M30" i="9" s="1"/>
  <c r="O30" i="9" s="1"/>
  <c r="K96" i="9"/>
  <c r="M96" i="9" s="1"/>
  <c r="O96" i="9" s="1"/>
  <c r="K95" i="9"/>
  <c r="M95" i="9" s="1"/>
  <c r="O95" i="9" s="1"/>
  <c r="K120" i="9"/>
  <c r="M120" i="9" s="1"/>
  <c r="O120" i="9" s="1"/>
  <c r="K41" i="9"/>
  <c r="M41" i="9"/>
  <c r="O41" i="9" s="1"/>
  <c r="K17" i="9"/>
  <c r="M17" i="9"/>
  <c r="O17" i="9" s="1"/>
  <c r="H90" i="9"/>
  <c r="J90" i="9" s="1"/>
  <c r="K48" i="9"/>
  <c r="M48" i="9" s="1"/>
  <c r="O48" i="9" s="1"/>
  <c r="K114" i="9"/>
  <c r="M114" i="9" s="1"/>
  <c r="O114" i="9" s="1"/>
  <c r="H134" i="9"/>
  <c r="J134" i="9" s="1"/>
  <c r="K49" i="9"/>
  <c r="M49" i="9"/>
  <c r="O49" i="9" s="1"/>
  <c r="K55" i="9"/>
  <c r="M55" i="9"/>
  <c r="O55" i="9" s="1"/>
  <c r="K44" i="9"/>
  <c r="M44" i="9" s="1"/>
  <c r="O44" i="9" s="1"/>
  <c r="H42" i="9"/>
  <c r="J42" i="9" s="1"/>
  <c r="K78" i="9"/>
  <c r="M78" i="9" s="1"/>
  <c r="O78" i="9" s="1"/>
  <c r="H74" i="9"/>
  <c r="J74" i="9" s="1"/>
  <c r="H26" i="9"/>
  <c r="J26" i="9" s="1"/>
  <c r="H82" i="9"/>
  <c r="J82" i="9" s="1"/>
  <c r="H118" i="9"/>
  <c r="J118" i="9" s="1"/>
  <c r="K124" i="9"/>
  <c r="M124" i="9" s="1"/>
  <c r="O124" i="9" s="1"/>
  <c r="K122" i="9"/>
  <c r="M122" i="9" s="1"/>
  <c r="O122" i="9" s="1"/>
  <c r="H151" i="9"/>
  <c r="J151" i="9" s="1"/>
  <c r="K56" i="9"/>
  <c r="M56" i="9"/>
  <c r="O56" i="9" s="1"/>
  <c r="K46" i="9"/>
  <c r="M46" i="9"/>
  <c r="O46" i="9" s="1"/>
  <c r="K70" i="9"/>
  <c r="M70" i="9"/>
  <c r="O70" i="9" s="1"/>
  <c r="K47" i="9"/>
  <c r="M47" i="9"/>
  <c r="O47" i="9" s="1"/>
  <c r="H58" i="9"/>
  <c r="J58" i="9" s="1"/>
  <c r="K33" i="9"/>
  <c r="M33" i="9" s="1"/>
  <c r="O33" i="9" s="1"/>
  <c r="H126" i="9"/>
  <c r="J126" i="9" s="1"/>
  <c r="H143" i="9"/>
  <c r="J143" i="9" s="1"/>
  <c r="K62" i="9"/>
  <c r="M62" i="9" s="1"/>
  <c r="O62" i="9" s="1"/>
  <c r="K100" i="9"/>
  <c r="M100" i="9" s="1"/>
  <c r="O100" i="9" s="1"/>
  <c r="K69" i="9"/>
  <c r="M69" i="9" s="1"/>
  <c r="O69" i="9" s="1"/>
  <c r="K50" i="9"/>
  <c r="M50" i="9" s="1"/>
  <c r="O50" i="9" s="1"/>
  <c r="K98" i="9"/>
  <c r="M98" i="9" s="1"/>
  <c r="O98" i="9" s="1"/>
  <c r="K130" i="9"/>
  <c r="M130" i="9" s="1"/>
  <c r="O130" i="9" s="1"/>
  <c r="K138" i="9"/>
  <c r="M138" i="9" s="1"/>
  <c r="O138" i="9" s="1"/>
  <c r="D14" i="4" s="1"/>
  <c r="M136" i="9"/>
  <c r="O136" i="9" s="1"/>
  <c r="K136" i="9"/>
  <c r="K37" i="9"/>
  <c r="M37" i="9" s="1"/>
  <c r="O37" i="9" s="1"/>
  <c r="K66" i="9"/>
  <c r="M66" i="9" s="1"/>
  <c r="O66" i="9" s="1"/>
  <c r="K141" i="9"/>
  <c r="M141" i="9" s="1"/>
  <c r="O141" i="9" s="1"/>
  <c r="H10" i="9"/>
  <c r="J10" i="9" s="1"/>
  <c r="K97" i="9"/>
  <c r="M97" i="9" s="1"/>
  <c r="O97" i="9" s="1"/>
  <c r="K72" i="9"/>
  <c r="M72" i="9"/>
  <c r="O72" i="9" s="1"/>
  <c r="H18" i="9"/>
  <c r="J18" i="9" s="1"/>
  <c r="F152" i="9"/>
  <c r="K40" i="9"/>
  <c r="M40" i="9"/>
  <c r="O40" i="9" s="1"/>
  <c r="K9" i="9"/>
  <c r="M9" i="9"/>
  <c r="O9" i="9" s="1"/>
  <c r="K43" i="9"/>
  <c r="M43" i="9"/>
  <c r="O43" i="9" s="1"/>
  <c r="K107" i="9"/>
  <c r="M107" i="9"/>
  <c r="O107" i="9" s="1"/>
  <c r="K154" i="9"/>
  <c r="M154" i="9"/>
  <c r="O154" i="9" s="1"/>
  <c r="H129" i="8"/>
  <c r="J129" i="8" s="1"/>
  <c r="K129" i="8" s="1"/>
  <c r="M129" i="8" s="1"/>
  <c r="O129" i="8" s="1"/>
  <c r="H34" i="8"/>
  <c r="J34" i="8" s="1"/>
  <c r="H9" i="8"/>
  <c r="J9" i="8" s="1"/>
  <c r="H142" i="8"/>
  <c r="J142" i="8" s="1"/>
  <c r="K142" i="8" s="1"/>
  <c r="M142" i="8" s="1"/>
  <c r="O142" i="8" s="1"/>
  <c r="H121" i="8"/>
  <c r="J121" i="8" s="1"/>
  <c r="H119" i="8"/>
  <c r="J119" i="8" s="1"/>
  <c r="H116" i="8"/>
  <c r="J116" i="8" s="1"/>
  <c r="H86" i="8"/>
  <c r="J86" i="8" s="1"/>
  <c r="H59" i="8"/>
  <c r="J59" i="8" s="1"/>
  <c r="H48" i="8"/>
  <c r="J48" i="8" s="1"/>
  <c r="K48" i="8" s="1"/>
  <c r="M48" i="8" s="1"/>
  <c r="O48" i="8" s="1"/>
  <c r="F42" i="8"/>
  <c r="H42" i="8" s="1"/>
  <c r="J42" i="8" s="1"/>
  <c r="F36" i="8"/>
  <c r="H36" i="8" s="1"/>
  <c r="J36" i="8" s="1"/>
  <c r="K36" i="8" s="1"/>
  <c r="M36" i="8" s="1"/>
  <c r="O36" i="8" s="1"/>
  <c r="F30" i="8"/>
  <c r="G27" i="8"/>
  <c r="F22" i="8"/>
  <c r="H22" i="8" s="1"/>
  <c r="J22" i="8" s="1"/>
  <c r="K22" i="8" s="1"/>
  <c r="G19" i="8"/>
  <c r="H11" i="8"/>
  <c r="J11" i="8" s="1"/>
  <c r="K11" i="8" s="1"/>
  <c r="M11" i="8" s="1"/>
  <c r="O11" i="8" s="1"/>
  <c r="J146" i="8"/>
  <c r="K146" i="8" s="1"/>
  <c r="M146" i="8" s="1"/>
  <c r="O146" i="8" s="1"/>
  <c r="H134" i="8"/>
  <c r="J134" i="8" s="1"/>
  <c r="H113" i="8"/>
  <c r="J113" i="8" s="1"/>
  <c r="K113" i="8" s="1"/>
  <c r="H103" i="8"/>
  <c r="J103" i="8" s="1"/>
  <c r="H95" i="8"/>
  <c r="J95" i="8" s="1"/>
  <c r="K95" i="8" s="1"/>
  <c r="M95" i="8" s="1"/>
  <c r="O95" i="8" s="1"/>
  <c r="H27" i="8"/>
  <c r="J27" i="8" s="1"/>
  <c r="G153" i="8"/>
  <c r="H153" i="8" s="1"/>
  <c r="J153" i="8" s="1"/>
  <c r="G151" i="8"/>
  <c r="H151" i="8" s="1"/>
  <c r="J151" i="8" s="1"/>
  <c r="G148" i="8"/>
  <c r="H148" i="8" s="1"/>
  <c r="J148" i="8" s="1"/>
  <c r="K148" i="8" s="1"/>
  <c r="M148" i="8" s="1"/>
  <c r="O148" i="8" s="1"/>
  <c r="F138" i="8"/>
  <c r="H138" i="8" s="1"/>
  <c r="J138" i="8" s="1"/>
  <c r="G128" i="8"/>
  <c r="H128" i="8" s="1"/>
  <c r="J128" i="8" s="1"/>
  <c r="K128" i="8" s="1"/>
  <c r="M128" i="8" s="1"/>
  <c r="O128" i="8" s="1"/>
  <c r="H126" i="8"/>
  <c r="J126" i="8" s="1"/>
  <c r="K126" i="8" s="1"/>
  <c r="M126" i="8" s="1"/>
  <c r="O126" i="8" s="1"/>
  <c r="F118" i="8"/>
  <c r="H105" i="8"/>
  <c r="J105" i="8" s="1"/>
  <c r="F100" i="8"/>
  <c r="G97" i="8"/>
  <c r="H97" i="8" s="1"/>
  <c r="J97" i="8" s="1"/>
  <c r="G91" i="8"/>
  <c r="H91" i="8" s="1"/>
  <c r="J91" i="8" s="1"/>
  <c r="K91" i="8" s="1"/>
  <c r="M91" i="8" s="1"/>
  <c r="O91" i="8" s="1"/>
  <c r="G75" i="8"/>
  <c r="F68" i="8"/>
  <c r="H56" i="8"/>
  <c r="J56" i="8" s="1"/>
  <c r="K56" i="8" s="1"/>
  <c r="F44" i="8"/>
  <c r="H44" i="8" s="1"/>
  <c r="J44" i="8" s="1"/>
  <c r="H33" i="8"/>
  <c r="G16" i="8"/>
  <c r="H16" i="8" s="1"/>
  <c r="J16" i="8" s="1"/>
  <c r="K16" i="8" s="1"/>
  <c r="M16" i="8" s="1"/>
  <c r="O16" i="8" s="1"/>
  <c r="H124" i="8"/>
  <c r="J124" i="8" s="1"/>
  <c r="H17" i="8"/>
  <c r="J17" i="8" s="1"/>
  <c r="K17" i="8" s="1"/>
  <c r="M17" i="8" s="1"/>
  <c r="O17" i="8" s="1"/>
  <c r="F130" i="8"/>
  <c r="H130" i="8" s="1"/>
  <c r="J130" i="8" s="1"/>
  <c r="H118" i="8"/>
  <c r="J118" i="8" s="1"/>
  <c r="F110" i="8"/>
  <c r="H110" i="8" s="1"/>
  <c r="J110" i="8" s="1"/>
  <c r="K110" i="8" s="1"/>
  <c r="M110" i="8" s="1"/>
  <c r="O110" i="8" s="1"/>
  <c r="F52" i="8"/>
  <c r="H52" i="8" s="1"/>
  <c r="J52" i="8" s="1"/>
  <c r="G49" i="8"/>
  <c r="H49" i="8" s="1"/>
  <c r="J49" i="8" s="1"/>
  <c r="G41" i="8"/>
  <c r="H41" i="8" s="1"/>
  <c r="J41" i="8" s="1"/>
  <c r="F38" i="8"/>
  <c r="H38" i="8" s="1"/>
  <c r="J38" i="8" s="1"/>
  <c r="G35" i="8"/>
  <c r="H35" i="8" s="1"/>
  <c r="J35" i="8" s="1"/>
  <c r="G24" i="8"/>
  <c r="H24" i="8" s="1"/>
  <c r="J24" i="8" s="1"/>
  <c r="H145" i="8"/>
  <c r="J145" i="8" s="1"/>
  <c r="H143" i="8"/>
  <c r="J143" i="8" s="1"/>
  <c r="K143" i="8" s="1"/>
  <c r="H140" i="8"/>
  <c r="J140" i="8" s="1"/>
  <c r="K140" i="8" s="1"/>
  <c r="M140" i="8" s="1"/>
  <c r="O140" i="8" s="1"/>
  <c r="G132" i="8"/>
  <c r="H132" i="8" s="1"/>
  <c r="J132" i="8" s="1"/>
  <c r="G104" i="8"/>
  <c r="H104" i="8" s="1"/>
  <c r="J104" i="8" s="1"/>
  <c r="H57" i="8"/>
  <c r="H46" i="8"/>
  <c r="J46" i="8" s="1"/>
  <c r="K46" i="8" s="1"/>
  <c r="J28" i="8"/>
  <c r="J20" i="8"/>
  <c r="F6" i="8"/>
  <c r="H6" i="8" s="1"/>
  <c r="J6" i="8" s="1"/>
  <c r="K6" i="8" s="1"/>
  <c r="H150" i="8"/>
  <c r="J150" i="8" s="1"/>
  <c r="K150" i="8" s="1"/>
  <c r="M150" i="8" s="1"/>
  <c r="O150" i="8" s="1"/>
  <c r="H137" i="8"/>
  <c r="J137" i="8" s="1"/>
  <c r="H135" i="8"/>
  <c r="J135" i="8" s="1"/>
  <c r="G129" i="8"/>
  <c r="G127" i="8"/>
  <c r="H127" i="8" s="1"/>
  <c r="J127" i="8" s="1"/>
  <c r="K127" i="8" s="1"/>
  <c r="M127" i="8" s="1"/>
  <c r="O127" i="8" s="1"/>
  <c r="F106" i="8"/>
  <c r="H106" i="8" s="1"/>
  <c r="J106" i="8" s="1"/>
  <c r="K106" i="8" s="1"/>
  <c r="M106" i="8" s="1"/>
  <c r="O106" i="8" s="1"/>
  <c r="H99" i="8"/>
  <c r="J99" i="8" s="1"/>
  <c r="K99" i="8" s="1"/>
  <c r="F54" i="8"/>
  <c r="H54" i="8" s="1"/>
  <c r="J54" i="8" s="1"/>
  <c r="G51" i="8"/>
  <c r="H51" i="8" s="1"/>
  <c r="J51" i="8" s="1"/>
  <c r="H43" i="8"/>
  <c r="J43" i="8" s="1"/>
  <c r="F34" i="8"/>
  <c r="G9" i="8"/>
  <c r="K154" i="8"/>
  <c r="M154" i="8" s="1"/>
  <c r="O154" i="8" s="1"/>
  <c r="K124" i="8"/>
  <c r="M124" i="8" s="1"/>
  <c r="O124" i="8" s="1"/>
  <c r="K34" i="8"/>
  <c r="M34" i="8" s="1"/>
  <c r="O34" i="8" s="1"/>
  <c r="K136" i="8"/>
  <c r="M136" i="8" s="1"/>
  <c r="O136" i="8" s="1"/>
  <c r="K121" i="8"/>
  <c r="M121" i="8" s="1"/>
  <c r="O121" i="8" s="1"/>
  <c r="K119" i="8"/>
  <c r="M119" i="8" s="1"/>
  <c r="O119" i="8" s="1"/>
  <c r="K116" i="8"/>
  <c r="M116" i="8" s="1"/>
  <c r="O116" i="8" s="1"/>
  <c r="K134" i="8"/>
  <c r="M134" i="8" s="1"/>
  <c r="O134" i="8" s="1"/>
  <c r="K103" i="8"/>
  <c r="M103" i="8" s="1"/>
  <c r="O103" i="8" s="1"/>
  <c r="K120" i="8"/>
  <c r="M120" i="8" s="1"/>
  <c r="O120" i="8" s="1"/>
  <c r="K118" i="8"/>
  <c r="M118" i="8" s="1"/>
  <c r="O118" i="8" s="1"/>
  <c r="K112" i="8"/>
  <c r="M112" i="8" s="1"/>
  <c r="O112" i="8" s="1"/>
  <c r="K138" i="8"/>
  <c r="M138" i="8" s="1"/>
  <c r="O138" i="8" s="1"/>
  <c r="K122" i="8"/>
  <c r="M122" i="8" s="1"/>
  <c r="O122" i="8" s="1"/>
  <c r="H107" i="8"/>
  <c r="J107" i="8" s="1"/>
  <c r="K18" i="8"/>
  <c r="M18" i="8"/>
  <c r="O18" i="8" s="1"/>
  <c r="K135" i="8"/>
  <c r="M135" i="8"/>
  <c r="O135" i="8" s="1"/>
  <c r="K144" i="8"/>
  <c r="M144" i="8"/>
  <c r="O144" i="8" s="1"/>
  <c r="K152" i="8"/>
  <c r="M152" i="8" s="1"/>
  <c r="O152" i="8" s="1"/>
  <c r="K145" i="8"/>
  <c r="M145" i="8" s="1"/>
  <c r="O145" i="8" s="1"/>
  <c r="H114" i="8"/>
  <c r="J114" i="8" s="1"/>
  <c r="K137" i="8"/>
  <c r="M137" i="8" s="1"/>
  <c r="O137" i="8" s="1"/>
  <c r="K60" i="8"/>
  <c r="M60" i="8" s="1"/>
  <c r="O60" i="8" s="1"/>
  <c r="F29" i="8"/>
  <c r="G29" i="8"/>
  <c r="K26" i="8"/>
  <c r="M26" i="8" s="1"/>
  <c r="O26" i="8" s="1"/>
  <c r="F101" i="8"/>
  <c r="G101" i="8"/>
  <c r="H89" i="8"/>
  <c r="J89" i="8" s="1"/>
  <c r="H84" i="8"/>
  <c r="J84" i="8" s="1"/>
  <c r="H76" i="8"/>
  <c r="J76" i="8" s="1"/>
  <c r="H68" i="8"/>
  <c r="J68" i="8" s="1"/>
  <c r="F53" i="8"/>
  <c r="G53" i="8"/>
  <c r="J57" i="8"/>
  <c r="K43" i="8"/>
  <c r="M43" i="8" s="1"/>
  <c r="O43" i="8" s="1"/>
  <c r="K28" i="8"/>
  <c r="M28" i="8" s="1"/>
  <c r="O28" i="8" s="1"/>
  <c r="H19" i="8"/>
  <c r="J19" i="8" s="1"/>
  <c r="K12" i="8"/>
  <c r="M12" i="8" s="1"/>
  <c r="O12" i="8" s="1"/>
  <c r="H102" i="8"/>
  <c r="J102" i="8" s="1"/>
  <c r="J33" i="8"/>
  <c r="G149" i="8"/>
  <c r="H149" i="8" s="1"/>
  <c r="J149" i="8" s="1"/>
  <c r="G141" i="8"/>
  <c r="G133" i="8"/>
  <c r="H133" i="8" s="1"/>
  <c r="J133" i="8" s="1"/>
  <c r="G125" i="8"/>
  <c r="H125" i="8" s="1"/>
  <c r="J125" i="8" s="1"/>
  <c r="G117" i="8"/>
  <c r="H117" i="8" s="1"/>
  <c r="J117" i="8" s="1"/>
  <c r="G109" i="8"/>
  <c r="H109" i="8" s="1"/>
  <c r="J109" i="8" s="1"/>
  <c r="K59" i="8"/>
  <c r="M59" i="8" s="1"/>
  <c r="O59" i="8" s="1"/>
  <c r="F45" i="8"/>
  <c r="G45" i="8"/>
  <c r="H30" i="8"/>
  <c r="J30" i="8" s="1"/>
  <c r="F21" i="8"/>
  <c r="G21" i="8"/>
  <c r="H14" i="8"/>
  <c r="J14" i="8" s="1"/>
  <c r="F13" i="8"/>
  <c r="G13" i="8"/>
  <c r="H100" i="8"/>
  <c r="J100" i="8" s="1"/>
  <c r="H83" i="8"/>
  <c r="J83" i="8" s="1"/>
  <c r="H75" i="8"/>
  <c r="J75" i="8" s="1"/>
  <c r="H67" i="8"/>
  <c r="J67" i="8" s="1"/>
  <c r="H23" i="8"/>
  <c r="J23" i="8" s="1"/>
  <c r="G147" i="8"/>
  <c r="H147" i="8" s="1"/>
  <c r="J147" i="8" s="1"/>
  <c r="G139" i="8"/>
  <c r="H139" i="8" s="1"/>
  <c r="J139" i="8" s="1"/>
  <c r="G131" i="8"/>
  <c r="H131" i="8" s="1"/>
  <c r="J131" i="8" s="1"/>
  <c r="G123" i="8"/>
  <c r="H123" i="8" s="1"/>
  <c r="J123" i="8" s="1"/>
  <c r="G115" i="8"/>
  <c r="H115" i="8" s="1"/>
  <c r="J115" i="8" s="1"/>
  <c r="G107" i="8"/>
  <c r="F93" i="8"/>
  <c r="G93" i="8"/>
  <c r="F77" i="8"/>
  <c r="G77" i="8"/>
  <c r="F69" i="8"/>
  <c r="H69" i="8" s="1"/>
  <c r="J69" i="8" s="1"/>
  <c r="G69" i="8"/>
  <c r="F61" i="8"/>
  <c r="H61" i="8" s="1"/>
  <c r="J61" i="8" s="1"/>
  <c r="G61" i="8"/>
  <c r="K44" i="8"/>
  <c r="M44" i="8" s="1"/>
  <c r="O44" i="8" s="1"/>
  <c r="F37" i="8"/>
  <c r="G37" i="8"/>
  <c r="K27" i="8"/>
  <c r="M22" i="8"/>
  <c r="O22" i="8" s="1"/>
  <c r="K20" i="8"/>
  <c r="M20" i="8" s="1"/>
  <c r="O20" i="8" s="1"/>
  <c r="K92" i="8"/>
  <c r="M92" i="8" s="1"/>
  <c r="O92" i="8" s="1"/>
  <c r="K10" i="8"/>
  <c r="M10" i="8" s="1"/>
  <c r="O10" i="8" s="1"/>
  <c r="F85" i="8"/>
  <c r="G85" i="8"/>
  <c r="G98" i="8"/>
  <c r="H98" i="8" s="1"/>
  <c r="J98" i="8" s="1"/>
  <c r="G90" i="8"/>
  <c r="H90" i="8" s="1"/>
  <c r="J90" i="8" s="1"/>
  <c r="G82" i="8"/>
  <c r="H82" i="8" s="1"/>
  <c r="J82" i="8" s="1"/>
  <c r="G74" i="8"/>
  <c r="H74" i="8" s="1"/>
  <c r="J74" i="8" s="1"/>
  <c r="G66" i="8"/>
  <c r="H66" i="8" s="1"/>
  <c r="J66" i="8" s="1"/>
  <c r="G58" i="8"/>
  <c r="H58" i="8" s="1"/>
  <c r="J58" i="8" s="1"/>
  <c r="G50" i="8"/>
  <c r="H50" i="8" s="1"/>
  <c r="J50" i="8" s="1"/>
  <c r="G81" i="8"/>
  <c r="H81" i="8" s="1"/>
  <c r="J81" i="8" s="1"/>
  <c r="G73" i="8"/>
  <c r="H73" i="8" s="1"/>
  <c r="J73" i="8" s="1"/>
  <c r="G65" i="8"/>
  <c r="H65" i="8" s="1"/>
  <c r="J65" i="8" s="1"/>
  <c r="G96" i="8"/>
  <c r="H96" i="8" s="1"/>
  <c r="J96" i="8" s="1"/>
  <c r="G88" i="8"/>
  <c r="H88" i="8" s="1"/>
  <c r="J88" i="8" s="1"/>
  <c r="G80" i="8"/>
  <c r="H80" i="8" s="1"/>
  <c r="J80" i="8" s="1"/>
  <c r="G72" i="8"/>
  <c r="H72" i="8" s="1"/>
  <c r="J72" i="8" s="1"/>
  <c r="G64" i="8"/>
  <c r="H64" i="8" s="1"/>
  <c r="J64" i="8" s="1"/>
  <c r="G40" i="8"/>
  <c r="H40" i="8" s="1"/>
  <c r="J40" i="8" s="1"/>
  <c r="G32" i="8"/>
  <c r="H32" i="8" s="1"/>
  <c r="J32" i="8" s="1"/>
  <c r="G8" i="8"/>
  <c r="H8" i="8" s="1"/>
  <c r="J8" i="8" s="1"/>
  <c r="G87" i="8"/>
  <c r="H87" i="8" s="1"/>
  <c r="J87" i="8" s="1"/>
  <c r="G79" i="8"/>
  <c r="H79" i="8" s="1"/>
  <c r="J79" i="8" s="1"/>
  <c r="G71" i="8"/>
  <c r="H71" i="8" s="1"/>
  <c r="J71" i="8" s="1"/>
  <c r="G63" i="8"/>
  <c r="H63" i="8" s="1"/>
  <c r="J63" i="8" s="1"/>
  <c r="G55" i="8"/>
  <c r="H55" i="8" s="1"/>
  <c r="J55" i="8" s="1"/>
  <c r="G47" i="8"/>
  <c r="H47" i="8" s="1"/>
  <c r="J47" i="8" s="1"/>
  <c r="G39" i="8"/>
  <c r="H39" i="8" s="1"/>
  <c r="J39" i="8" s="1"/>
  <c r="G31" i="8"/>
  <c r="H31" i="8" s="1"/>
  <c r="J31" i="8" s="1"/>
  <c r="G23" i="8"/>
  <c r="G15" i="8"/>
  <c r="H15" i="8" s="1"/>
  <c r="J15" i="8" s="1"/>
  <c r="G7" i="8"/>
  <c r="H7" i="8" s="1"/>
  <c r="G94" i="8"/>
  <c r="H94" i="8" s="1"/>
  <c r="J94" i="8" s="1"/>
  <c r="G78" i="8"/>
  <c r="H78" i="8" s="1"/>
  <c r="J78" i="8" s="1"/>
  <c r="G70" i="8"/>
  <c r="H70" i="8" s="1"/>
  <c r="J70" i="8" s="1"/>
  <c r="G62" i="8"/>
  <c r="H62" i="8" s="1"/>
  <c r="J62" i="8" s="1"/>
  <c r="H5" i="7"/>
  <c r="K5" i="7"/>
  <c r="H6" i="7"/>
  <c r="K6" i="7"/>
  <c r="H7" i="7"/>
  <c r="K7" i="7"/>
  <c r="L7" i="7" s="1"/>
  <c r="H8" i="7"/>
  <c r="K8" i="7"/>
  <c r="H9" i="7"/>
  <c r="L9" i="7" s="1"/>
  <c r="K9" i="7"/>
  <c r="H10" i="7"/>
  <c r="L10" i="7" s="1"/>
  <c r="K10" i="7"/>
  <c r="H11" i="7"/>
  <c r="K11" i="7"/>
  <c r="H12" i="7"/>
  <c r="K12" i="7"/>
  <c r="H13" i="7"/>
  <c r="K13" i="7"/>
  <c r="H14" i="7"/>
  <c r="K14" i="7"/>
  <c r="H15" i="7"/>
  <c r="K15" i="7"/>
  <c r="L15" i="7" s="1"/>
  <c r="H16" i="7"/>
  <c r="K16" i="7"/>
  <c r="H17" i="7"/>
  <c r="K17" i="7"/>
  <c r="H18" i="7"/>
  <c r="K18" i="7"/>
  <c r="H19" i="7"/>
  <c r="K19" i="7"/>
  <c r="H20" i="7"/>
  <c r="K20" i="7"/>
  <c r="H21" i="7"/>
  <c r="K21" i="7"/>
  <c r="H22" i="7"/>
  <c r="L22" i="7" s="1"/>
  <c r="K22" i="7"/>
  <c r="H23" i="7"/>
  <c r="K23" i="7"/>
  <c r="H24" i="7"/>
  <c r="K24" i="7"/>
  <c r="H25" i="7"/>
  <c r="L25" i="7" s="1"/>
  <c r="K25" i="7"/>
  <c r="H26" i="7"/>
  <c r="K26" i="7"/>
  <c r="H27" i="7"/>
  <c r="L27" i="7" s="1"/>
  <c r="K27" i="7"/>
  <c r="H28" i="7"/>
  <c r="K28" i="7"/>
  <c r="L28" i="7" s="1"/>
  <c r="H29" i="7"/>
  <c r="K29" i="7"/>
  <c r="H30" i="7"/>
  <c r="L30" i="7" s="1"/>
  <c r="K30" i="7"/>
  <c r="H31" i="7"/>
  <c r="K31" i="7"/>
  <c r="H32" i="7"/>
  <c r="K32" i="7"/>
  <c r="H33" i="7"/>
  <c r="K33" i="7"/>
  <c r="H34" i="7"/>
  <c r="L34" i="7" s="1"/>
  <c r="K34" i="7"/>
  <c r="H35" i="7"/>
  <c r="L35" i="7" s="1"/>
  <c r="K35" i="7"/>
  <c r="H36" i="7"/>
  <c r="K36" i="7"/>
  <c r="H37" i="7"/>
  <c r="K37" i="7"/>
  <c r="L37" i="7" s="1"/>
  <c r="H38" i="7"/>
  <c r="L38" i="7" s="1"/>
  <c r="K38" i="7"/>
  <c r="H39" i="7"/>
  <c r="K39" i="7"/>
  <c r="H40" i="7"/>
  <c r="K40" i="7"/>
  <c r="H41" i="7"/>
  <c r="K41" i="7"/>
  <c r="H42" i="7"/>
  <c r="L42" i="7" s="1"/>
  <c r="K42" i="7"/>
  <c r="H43" i="7"/>
  <c r="L43" i="7" s="1"/>
  <c r="K43" i="7"/>
  <c r="H44" i="7"/>
  <c r="L44" i="7" s="1"/>
  <c r="K44" i="7"/>
  <c r="H45" i="7"/>
  <c r="K45" i="7"/>
  <c r="H46" i="7"/>
  <c r="K46" i="7"/>
  <c r="H47" i="7"/>
  <c r="K47" i="7"/>
  <c r="H48" i="7"/>
  <c r="K48" i="7"/>
  <c r="H49" i="7"/>
  <c r="K49" i="7"/>
  <c r="H50" i="7"/>
  <c r="K50" i="7"/>
  <c r="H51" i="7"/>
  <c r="K51" i="7"/>
  <c r="H52" i="7"/>
  <c r="L52" i="7" s="1"/>
  <c r="K52" i="7"/>
  <c r="H53" i="7"/>
  <c r="K53" i="7"/>
  <c r="H54" i="7"/>
  <c r="K54" i="7"/>
  <c r="H55" i="7"/>
  <c r="K55" i="7"/>
  <c r="H56" i="7"/>
  <c r="L56" i="7" s="1"/>
  <c r="K56" i="7"/>
  <c r="H57" i="7"/>
  <c r="L57" i="7" s="1"/>
  <c r="K57" i="7"/>
  <c r="H58" i="7"/>
  <c r="K58" i="7"/>
  <c r="H59" i="7"/>
  <c r="K59" i="7"/>
  <c r="H60" i="7"/>
  <c r="L60" i="7" s="1"/>
  <c r="K60" i="7"/>
  <c r="H61" i="7"/>
  <c r="K61" i="7"/>
  <c r="H62" i="7"/>
  <c r="K62" i="7"/>
  <c r="L62" i="7" s="1"/>
  <c r="H63" i="7"/>
  <c r="K63" i="7"/>
  <c r="H64" i="7"/>
  <c r="K64" i="7"/>
  <c r="H65" i="7"/>
  <c r="L65" i="7" s="1"/>
  <c r="K65" i="7"/>
  <c r="H66" i="7"/>
  <c r="K66" i="7"/>
  <c r="H67" i="7"/>
  <c r="K67" i="7"/>
  <c r="H68" i="7"/>
  <c r="L68" i="7" s="1"/>
  <c r="K68" i="7"/>
  <c r="H69" i="7"/>
  <c r="K69" i="7"/>
  <c r="H70" i="7"/>
  <c r="L70" i="7" s="1"/>
  <c r="K70" i="7"/>
  <c r="H71" i="7"/>
  <c r="K71" i="7"/>
  <c r="L71" i="7" s="1"/>
  <c r="H72" i="7"/>
  <c r="K72" i="7"/>
  <c r="H73" i="7"/>
  <c r="L73" i="7" s="1"/>
  <c r="K73" i="7"/>
  <c r="H74" i="7"/>
  <c r="L74" i="7" s="1"/>
  <c r="K74" i="7"/>
  <c r="H75" i="7"/>
  <c r="K75" i="7"/>
  <c r="H76" i="7"/>
  <c r="K76" i="7"/>
  <c r="L76" i="7" s="1"/>
  <c r="H77" i="7"/>
  <c r="K77" i="7"/>
  <c r="L77" i="7" s="1"/>
  <c r="H78" i="7"/>
  <c r="K78" i="7"/>
  <c r="H79" i="7"/>
  <c r="K79" i="7"/>
  <c r="H80" i="7"/>
  <c r="K80" i="7"/>
  <c r="H81" i="7"/>
  <c r="K81" i="7"/>
  <c r="H82" i="7"/>
  <c r="L82" i="7" s="1"/>
  <c r="K82" i="7"/>
  <c r="H83" i="7"/>
  <c r="K83" i="7"/>
  <c r="H84" i="7"/>
  <c r="K84" i="7"/>
  <c r="H85" i="7"/>
  <c r="K85" i="7"/>
  <c r="H86" i="7"/>
  <c r="K86" i="7"/>
  <c r="L86" i="7"/>
  <c r="H87" i="7"/>
  <c r="K87" i="7"/>
  <c r="L87" i="7" s="1"/>
  <c r="H88" i="7"/>
  <c r="K88" i="7"/>
  <c r="H89" i="7"/>
  <c r="K89" i="7"/>
  <c r="H90" i="7"/>
  <c r="K90" i="7"/>
  <c r="H91" i="7"/>
  <c r="K91" i="7"/>
  <c r="H92" i="7"/>
  <c r="L92" i="7" s="1"/>
  <c r="K92" i="7"/>
  <c r="H93" i="7"/>
  <c r="K93" i="7"/>
  <c r="H94" i="7"/>
  <c r="L94" i="7" s="1"/>
  <c r="K94" i="7"/>
  <c r="H95" i="7"/>
  <c r="K95" i="7"/>
  <c r="H96" i="7"/>
  <c r="K96" i="7"/>
  <c r="H97" i="7"/>
  <c r="K97" i="7"/>
  <c r="H98" i="7"/>
  <c r="K98" i="7"/>
  <c r="H99" i="7"/>
  <c r="K99" i="7"/>
  <c r="H100" i="7"/>
  <c r="K100" i="7"/>
  <c r="H101" i="7"/>
  <c r="K101" i="7"/>
  <c r="L101" i="7" s="1"/>
  <c r="H102" i="7"/>
  <c r="L102" i="7" s="1"/>
  <c r="K102" i="7"/>
  <c r="H103" i="7"/>
  <c r="K103" i="7"/>
  <c r="H104" i="7"/>
  <c r="K104" i="7"/>
  <c r="H105" i="7"/>
  <c r="K105" i="7"/>
  <c r="L105" i="7" s="1"/>
  <c r="H106" i="7"/>
  <c r="K106" i="7"/>
  <c r="H107" i="7"/>
  <c r="L107" i="7" s="1"/>
  <c r="K107" i="7"/>
  <c r="H108" i="7"/>
  <c r="K108" i="7"/>
  <c r="H109" i="7"/>
  <c r="K109" i="7"/>
  <c r="L109" i="7" s="1"/>
  <c r="H110" i="7"/>
  <c r="K110" i="7"/>
  <c r="H111" i="7"/>
  <c r="K111" i="7"/>
  <c r="H112" i="7"/>
  <c r="K112" i="7"/>
  <c r="H113" i="7"/>
  <c r="K113" i="7"/>
  <c r="L113" i="7" s="1"/>
  <c r="H114" i="7"/>
  <c r="K114" i="7"/>
  <c r="H115" i="7"/>
  <c r="K115" i="7"/>
  <c r="H116" i="7"/>
  <c r="L116" i="7" s="1"/>
  <c r="K116" i="7"/>
  <c r="H117" i="7"/>
  <c r="K117" i="7"/>
  <c r="H118" i="7"/>
  <c r="K118" i="7"/>
  <c r="H119" i="7"/>
  <c r="K119" i="7"/>
  <c r="H120" i="7"/>
  <c r="K120" i="7"/>
  <c r="H121" i="7"/>
  <c r="K121" i="7"/>
  <c r="H122" i="7"/>
  <c r="K122" i="7"/>
  <c r="H123" i="7"/>
  <c r="K123" i="7"/>
  <c r="H124" i="7"/>
  <c r="K124" i="7"/>
  <c r="H125" i="7"/>
  <c r="K125" i="7"/>
  <c r="H126" i="7"/>
  <c r="L126" i="7" s="1"/>
  <c r="K126" i="7"/>
  <c r="H127" i="7"/>
  <c r="K127" i="7"/>
  <c r="H128" i="7"/>
  <c r="L128" i="7" s="1"/>
  <c r="K128" i="7"/>
  <c r="H129" i="7"/>
  <c r="K129" i="7"/>
  <c r="H130" i="7"/>
  <c r="K130" i="7"/>
  <c r="H131" i="7"/>
  <c r="K131" i="7"/>
  <c r="H132" i="7"/>
  <c r="L132" i="7" s="1"/>
  <c r="K132" i="7"/>
  <c r="H133" i="7"/>
  <c r="K133" i="7"/>
  <c r="H134" i="7"/>
  <c r="L134" i="7" s="1"/>
  <c r="K134" i="7"/>
  <c r="H135" i="7"/>
  <c r="L135" i="7" s="1"/>
  <c r="K135" i="7"/>
  <c r="H136" i="7"/>
  <c r="K136" i="7"/>
  <c r="H137" i="7"/>
  <c r="K137" i="7"/>
  <c r="H138" i="7"/>
  <c r="K138" i="7"/>
  <c r="H139" i="7"/>
  <c r="K139" i="7"/>
  <c r="H140" i="7"/>
  <c r="K140" i="7"/>
  <c r="H141" i="7"/>
  <c r="K141" i="7"/>
  <c r="L141" i="7" s="1"/>
  <c r="H142" i="7"/>
  <c r="L142" i="7" s="1"/>
  <c r="K142" i="7"/>
  <c r="H143" i="7"/>
  <c r="K143" i="7"/>
  <c r="H144" i="7"/>
  <c r="K144" i="7"/>
  <c r="H145" i="7"/>
  <c r="K145" i="7"/>
  <c r="L145" i="7" s="1"/>
  <c r="H146" i="7"/>
  <c r="L146" i="7" s="1"/>
  <c r="K146" i="7"/>
  <c r="H147" i="7"/>
  <c r="K147" i="7"/>
  <c r="H148" i="7"/>
  <c r="K148" i="7"/>
  <c r="L148" i="7" s="1"/>
  <c r="H149" i="7"/>
  <c r="K149" i="7"/>
  <c r="H150" i="7"/>
  <c r="K150" i="7"/>
  <c r="H151" i="7"/>
  <c r="K151" i="7"/>
  <c r="H152" i="7"/>
  <c r="K152" i="7"/>
  <c r="H153" i="7"/>
  <c r="K153" i="7"/>
  <c r="D154" i="7"/>
  <c r="E154" i="7"/>
  <c r="F154" i="7"/>
  <c r="G154" i="7"/>
  <c r="I154" i="7"/>
  <c r="J154" i="7"/>
  <c r="H155" i="7"/>
  <c r="K155" i="7"/>
  <c r="K108" i="8" l="1"/>
  <c r="M108" i="8" s="1"/>
  <c r="O108" i="8" s="1"/>
  <c r="K151" i="8"/>
  <c r="M151" i="8" s="1"/>
  <c r="O151" i="8" s="1"/>
  <c r="K41" i="8"/>
  <c r="M41" i="8" s="1"/>
  <c r="O41" i="8" s="1"/>
  <c r="K153" i="8"/>
  <c r="M153" i="8" s="1"/>
  <c r="O153" i="8" s="1"/>
  <c r="L140" i="7"/>
  <c r="C17" i="4" s="1"/>
  <c r="L124" i="7"/>
  <c r="L47" i="7"/>
  <c r="L36" i="7"/>
  <c r="L32" i="7"/>
  <c r="L108" i="7"/>
  <c r="L93" i="7"/>
  <c r="L67" i="7"/>
  <c r="L24" i="7"/>
  <c r="L20" i="7"/>
  <c r="L16" i="7"/>
  <c r="L12" i="7"/>
  <c r="H141" i="8"/>
  <c r="J141" i="8" s="1"/>
  <c r="M27" i="8"/>
  <c r="O27" i="8" s="1"/>
  <c r="L150" i="7"/>
  <c r="L100" i="7"/>
  <c r="L96" i="7"/>
  <c r="L69" i="7"/>
  <c r="L58" i="7"/>
  <c r="L54" i="7"/>
  <c r="L11" i="7"/>
  <c r="H37" i="8"/>
  <c r="J37" i="8" s="1"/>
  <c r="K37" i="8" s="1"/>
  <c r="M37" i="8" s="1"/>
  <c r="O37" i="8" s="1"/>
  <c r="M113" i="8"/>
  <c r="O113" i="8" s="1"/>
  <c r="L118" i="7"/>
  <c r="L84" i="7"/>
  <c r="L61" i="7"/>
  <c r="M99" i="8"/>
  <c r="O99" i="8" s="1"/>
  <c r="L155" i="7"/>
  <c r="L133" i="7"/>
  <c r="L125" i="7"/>
  <c r="L114" i="7"/>
  <c r="L110" i="7"/>
  <c r="L79" i="7"/>
  <c r="L72" i="7"/>
  <c r="L41" i="7"/>
  <c r="L33" i="7"/>
  <c r="L13" i="7"/>
  <c r="L5" i="7"/>
  <c r="M46" i="8"/>
  <c r="O46" i="8" s="1"/>
  <c r="K105" i="8"/>
  <c r="M105" i="8" s="1"/>
  <c r="O105" i="8" s="1"/>
  <c r="K82" i="9"/>
  <c r="M82" i="9" s="1"/>
  <c r="O82" i="9" s="1"/>
  <c r="K18" i="9"/>
  <c r="M18" i="9"/>
  <c r="O18" i="9" s="1"/>
  <c r="K58" i="9"/>
  <c r="M58" i="9" s="1"/>
  <c r="O58" i="9" s="1"/>
  <c r="K26" i="9"/>
  <c r="M26" i="9" s="1"/>
  <c r="O26" i="9" s="1"/>
  <c r="K90" i="9"/>
  <c r="M90" i="9" s="1"/>
  <c r="O90" i="9" s="1"/>
  <c r="K134" i="9"/>
  <c r="M134" i="9" s="1"/>
  <c r="O134" i="9" s="1"/>
  <c r="K151" i="9"/>
  <c r="M151" i="9" s="1"/>
  <c r="O151" i="9" s="1"/>
  <c r="K143" i="9"/>
  <c r="M143" i="9" s="1"/>
  <c r="O143" i="9" s="1"/>
  <c r="K42" i="9"/>
  <c r="M42" i="9" s="1"/>
  <c r="O42" i="9" s="1"/>
  <c r="K74" i="9"/>
  <c r="M74" i="9"/>
  <c r="O74" i="9" s="1"/>
  <c r="K10" i="9"/>
  <c r="M10" i="9" s="1"/>
  <c r="O10" i="9" s="1"/>
  <c r="K126" i="9"/>
  <c r="M126" i="9" s="1"/>
  <c r="O126" i="9" s="1"/>
  <c r="H152" i="9"/>
  <c r="K118" i="9"/>
  <c r="M118" i="9" s="1"/>
  <c r="O118" i="9" s="1"/>
  <c r="K3" i="9"/>
  <c r="M3" i="9"/>
  <c r="K24" i="8"/>
  <c r="M24" i="8" s="1"/>
  <c r="O24" i="8" s="1"/>
  <c r="K132" i="8"/>
  <c r="M132" i="8" s="1"/>
  <c r="O132" i="8" s="1"/>
  <c r="K104" i="8"/>
  <c r="M104" i="8" s="1"/>
  <c r="O104" i="8" s="1"/>
  <c r="K49" i="8"/>
  <c r="M49" i="8" s="1"/>
  <c r="O49" i="8" s="1"/>
  <c r="K97" i="8"/>
  <c r="M97" i="8" s="1"/>
  <c r="O97" i="8" s="1"/>
  <c r="K42" i="8"/>
  <c r="M42" i="8" s="1"/>
  <c r="O42" i="8" s="1"/>
  <c r="H29" i="8"/>
  <c r="J29" i="8" s="1"/>
  <c r="K29" i="8" s="1"/>
  <c r="M29" i="8" s="1"/>
  <c r="O29" i="8" s="1"/>
  <c r="M143" i="8"/>
  <c r="O143" i="8" s="1"/>
  <c r="K38" i="8"/>
  <c r="M38" i="8" s="1"/>
  <c r="O38" i="8" s="1"/>
  <c r="K86" i="8"/>
  <c r="M86" i="8" s="1"/>
  <c r="O86" i="8" s="1"/>
  <c r="H77" i="8"/>
  <c r="J77" i="8" s="1"/>
  <c r="M6" i="8"/>
  <c r="M56" i="8"/>
  <c r="O56" i="8" s="1"/>
  <c r="K40" i="8"/>
  <c r="M40" i="8" s="1"/>
  <c r="O40" i="8" s="1"/>
  <c r="K55" i="8"/>
  <c r="M55" i="8" s="1"/>
  <c r="O55" i="8" s="1"/>
  <c r="K64" i="8"/>
  <c r="M64" i="8" s="1"/>
  <c r="O64" i="8" s="1"/>
  <c r="K50" i="8"/>
  <c r="M50" i="8" s="1"/>
  <c r="O50" i="8" s="1"/>
  <c r="K149" i="8"/>
  <c r="M149" i="8" s="1"/>
  <c r="O149" i="8" s="1"/>
  <c r="K94" i="8"/>
  <c r="M94" i="8" s="1"/>
  <c r="O94" i="8" s="1"/>
  <c r="K81" i="8"/>
  <c r="M81" i="8" s="1"/>
  <c r="O81" i="8" s="1"/>
  <c r="J7" i="8"/>
  <c r="K80" i="8"/>
  <c r="M80" i="8" s="1"/>
  <c r="O80" i="8" s="1"/>
  <c r="K66" i="8"/>
  <c r="M66" i="8" s="1"/>
  <c r="O66" i="8" s="1"/>
  <c r="K70" i="8"/>
  <c r="M70" i="8" s="1"/>
  <c r="O70" i="8" s="1"/>
  <c r="K63" i="8"/>
  <c r="M63" i="8" s="1"/>
  <c r="O63" i="8" s="1"/>
  <c r="K79" i="8"/>
  <c r="M79" i="8" s="1"/>
  <c r="O79" i="8" s="1"/>
  <c r="K88" i="8"/>
  <c r="M88" i="8" s="1"/>
  <c r="O88" i="8" s="1"/>
  <c r="K74" i="8"/>
  <c r="M74" i="8"/>
  <c r="O74" i="8" s="1"/>
  <c r="K115" i="8"/>
  <c r="M115" i="8"/>
  <c r="O115" i="8" s="1"/>
  <c r="K109" i="8"/>
  <c r="M109" i="8" s="1"/>
  <c r="O109" i="8" s="1"/>
  <c r="K147" i="8"/>
  <c r="M147" i="8" s="1"/>
  <c r="K87" i="8"/>
  <c r="M87" i="8" s="1"/>
  <c r="O87" i="8" s="1"/>
  <c r="K96" i="8"/>
  <c r="M96" i="8"/>
  <c r="O96" i="8" s="1"/>
  <c r="K82" i="8"/>
  <c r="M82" i="8"/>
  <c r="O82" i="8" s="1"/>
  <c r="K117" i="8"/>
  <c r="M117" i="8" s="1"/>
  <c r="O117" i="8" s="1"/>
  <c r="K47" i="8"/>
  <c r="M47" i="8" s="1"/>
  <c r="O47" i="8" s="1"/>
  <c r="K141" i="8"/>
  <c r="M141" i="8" s="1"/>
  <c r="O141" i="8" s="1"/>
  <c r="C14" i="4" s="1"/>
  <c r="K72" i="8"/>
  <c r="M72" i="8" s="1"/>
  <c r="O72" i="8" s="1"/>
  <c r="K31" i="8"/>
  <c r="M31" i="8" s="1"/>
  <c r="O31" i="8" s="1"/>
  <c r="K65" i="8"/>
  <c r="M65" i="8" s="1"/>
  <c r="O65" i="8" s="1"/>
  <c r="K131" i="8"/>
  <c r="M131" i="8" s="1"/>
  <c r="O131" i="8" s="1"/>
  <c r="K125" i="8"/>
  <c r="M125" i="8" s="1"/>
  <c r="O125" i="8" s="1"/>
  <c r="K62" i="8"/>
  <c r="M62" i="8" s="1"/>
  <c r="O62" i="8" s="1"/>
  <c r="K73" i="8"/>
  <c r="M73" i="8" s="1"/>
  <c r="O73" i="8" s="1"/>
  <c r="K133" i="8"/>
  <c r="M133" i="8" s="1"/>
  <c r="O133" i="8" s="1"/>
  <c r="K58" i="8"/>
  <c r="M58" i="8" s="1"/>
  <c r="O58" i="8" s="1"/>
  <c r="K71" i="8"/>
  <c r="M71" i="8" s="1"/>
  <c r="O71" i="8" s="1"/>
  <c r="K68" i="8"/>
  <c r="M68" i="8" s="1"/>
  <c r="K107" i="8"/>
  <c r="M107" i="8" s="1"/>
  <c r="O107" i="8" s="1"/>
  <c r="H85" i="8"/>
  <c r="J85" i="8" s="1"/>
  <c r="O6" i="8"/>
  <c r="H45" i="8"/>
  <c r="J45" i="8" s="1"/>
  <c r="K76" i="8"/>
  <c r="M76" i="8" s="1"/>
  <c r="K15" i="8"/>
  <c r="M15" i="8" s="1"/>
  <c r="O15" i="8" s="1"/>
  <c r="K14" i="8"/>
  <c r="M14" i="8" s="1"/>
  <c r="O14" i="8" s="1"/>
  <c r="K84" i="8"/>
  <c r="M84" i="8" s="1"/>
  <c r="O84" i="8" s="1"/>
  <c r="K123" i="8"/>
  <c r="M123" i="8" s="1"/>
  <c r="O123" i="8" s="1"/>
  <c r="K77" i="8"/>
  <c r="M77" i="8" s="1"/>
  <c r="O77" i="8" s="1"/>
  <c r="K33" i="8"/>
  <c r="M33" i="8" s="1"/>
  <c r="O33" i="8" s="1"/>
  <c r="F155" i="8"/>
  <c r="K52" i="8"/>
  <c r="M52" i="8" s="1"/>
  <c r="O52" i="8" s="1"/>
  <c r="K89" i="8"/>
  <c r="M89" i="8" s="1"/>
  <c r="O89" i="8" s="1"/>
  <c r="K75" i="8"/>
  <c r="M75" i="8" s="1"/>
  <c r="O75" i="8" s="1"/>
  <c r="K83" i="8"/>
  <c r="M83" i="8" s="1"/>
  <c r="O83" i="8" s="1"/>
  <c r="K90" i="8"/>
  <c r="M90" i="8" s="1"/>
  <c r="O90" i="8" s="1"/>
  <c r="H93" i="8"/>
  <c r="J93" i="8" s="1"/>
  <c r="K54" i="8"/>
  <c r="M54" i="8" s="1"/>
  <c r="O54" i="8" s="1"/>
  <c r="H21" i="8"/>
  <c r="J21" i="8" s="1"/>
  <c r="K19" i="8"/>
  <c r="M19" i="8" s="1"/>
  <c r="O19" i="8" s="1"/>
  <c r="K130" i="8"/>
  <c r="M130" i="8" s="1"/>
  <c r="O130" i="8" s="1"/>
  <c r="K57" i="8"/>
  <c r="M57" i="8" s="1"/>
  <c r="O57" i="8" s="1"/>
  <c r="K98" i="8"/>
  <c r="M98" i="8" s="1"/>
  <c r="O98" i="8" s="1"/>
  <c r="K9" i="8"/>
  <c r="M9" i="8" s="1"/>
  <c r="O9" i="8" s="1"/>
  <c r="K100" i="8"/>
  <c r="M100" i="8" s="1"/>
  <c r="O100" i="8" s="1"/>
  <c r="K30" i="8"/>
  <c r="M30" i="8" s="1"/>
  <c r="O30" i="8" s="1"/>
  <c r="H101" i="8"/>
  <c r="J101" i="8" s="1"/>
  <c r="K69" i="8"/>
  <c r="M69" i="8" s="1"/>
  <c r="O69" i="8" s="1"/>
  <c r="K39" i="8"/>
  <c r="M39" i="8" s="1"/>
  <c r="O39" i="8" s="1"/>
  <c r="K32" i="8"/>
  <c r="M32" i="8" s="1"/>
  <c r="O32" i="8" s="1"/>
  <c r="K67" i="8"/>
  <c r="M67" i="8" s="1"/>
  <c r="O67" i="8" s="1"/>
  <c r="K8" i="8"/>
  <c r="M8" i="8" s="1"/>
  <c r="O8" i="8" s="1"/>
  <c r="K139" i="8"/>
  <c r="M139" i="8" s="1"/>
  <c r="O139" i="8" s="1"/>
  <c r="K102" i="8"/>
  <c r="M102" i="8" s="1"/>
  <c r="O102" i="8" s="1"/>
  <c r="K61" i="8"/>
  <c r="M61" i="8" s="1"/>
  <c r="O61" i="8" s="1"/>
  <c r="K23" i="8"/>
  <c r="M23" i="8" s="1"/>
  <c r="O23" i="8" s="1"/>
  <c r="K35" i="8"/>
  <c r="M35" i="8" s="1"/>
  <c r="O35" i="8" s="1"/>
  <c r="K78" i="8"/>
  <c r="M78" i="8" s="1"/>
  <c r="O78" i="8" s="1"/>
  <c r="K114" i="8"/>
  <c r="M114" i="8" s="1"/>
  <c r="O114" i="8" s="1"/>
  <c r="K51" i="8"/>
  <c r="M51" i="8" s="1"/>
  <c r="O51" i="8" s="1"/>
  <c r="H13" i="8"/>
  <c r="J13" i="8" s="1"/>
  <c r="H53" i="8"/>
  <c r="J53" i="8" s="1"/>
  <c r="L152" i="7"/>
  <c r="L138" i="7"/>
  <c r="L131" i="7"/>
  <c r="L127" i="7"/>
  <c r="L120" i="7"/>
  <c r="L106" i="7"/>
  <c r="L99" i="7"/>
  <c r="L95" i="7"/>
  <c r="L88" i="7"/>
  <c r="L81" i="7"/>
  <c r="L48" i="7"/>
  <c r="L29" i="7"/>
  <c r="L26" i="7"/>
  <c r="L19" i="7"/>
  <c r="L8" i="7"/>
  <c r="L137" i="7"/>
  <c r="L66" i="7"/>
  <c r="L59" i="7"/>
  <c r="L55" i="7"/>
  <c r="L151" i="7"/>
  <c r="L144" i="7"/>
  <c r="L130" i="7"/>
  <c r="L123" i="7"/>
  <c r="L119" i="7"/>
  <c r="L112" i="7"/>
  <c r="L98" i="7"/>
  <c r="L91" i="7"/>
  <c r="L80" i="7"/>
  <c r="L51" i="7"/>
  <c r="L40" i="7"/>
  <c r="L21" i="7"/>
  <c r="L18" i="7"/>
  <c r="L14" i="7"/>
  <c r="L147" i="7"/>
  <c r="L143" i="7"/>
  <c r="L136" i="7"/>
  <c r="L129" i="7"/>
  <c r="L122" i="7"/>
  <c r="L115" i="7"/>
  <c r="L111" i="7"/>
  <c r="L104" i="7"/>
  <c r="L97" i="7"/>
  <c r="L90" i="7"/>
  <c r="L83" i="7"/>
  <c r="L53" i="7"/>
  <c r="L50" i="7"/>
  <c r="L46" i="7"/>
  <c r="L39" i="7"/>
  <c r="L31" i="7"/>
  <c r="L17" i="7"/>
  <c r="L6" i="7"/>
  <c r="L153" i="7"/>
  <c r="L121" i="7"/>
  <c r="L89" i="7"/>
  <c r="L78" i="7"/>
  <c r="L75" i="7"/>
  <c r="L64" i="7"/>
  <c r="L45" i="7"/>
  <c r="L149" i="7"/>
  <c r="L139" i="7"/>
  <c r="L117" i="7"/>
  <c r="L103" i="7"/>
  <c r="L85" i="7"/>
  <c r="L63" i="7"/>
  <c r="L49" i="7"/>
  <c r="L23" i="7"/>
  <c r="K154" i="7"/>
  <c r="H154" i="7"/>
  <c r="L154" i="7" l="1"/>
  <c r="L157" i="7" s="1"/>
  <c r="O3" i="9"/>
  <c r="O152" i="9" s="1"/>
  <c r="M152" i="9"/>
  <c r="K13" i="8"/>
  <c r="M13" i="8" s="1"/>
  <c r="O13" i="8" s="1"/>
  <c r="K7" i="8"/>
  <c r="M7" i="8" s="1"/>
  <c r="K53" i="8"/>
  <c r="M53" i="8"/>
  <c r="O53" i="8" s="1"/>
  <c r="K93" i="8"/>
  <c r="M93" i="8" s="1"/>
  <c r="O93" i="8" s="1"/>
  <c r="K101" i="8"/>
  <c r="M101" i="8" s="1"/>
  <c r="O101" i="8" s="1"/>
  <c r="K45" i="8"/>
  <c r="M45" i="8" s="1"/>
  <c r="O45" i="8" s="1"/>
  <c r="H155" i="8"/>
  <c r="K21" i="8"/>
  <c r="M21" i="8" s="1"/>
  <c r="O21" i="8" s="1"/>
  <c r="K85" i="8"/>
  <c r="M85" i="8" s="1"/>
  <c r="O85" i="8" s="1"/>
  <c r="G2" i="5"/>
  <c r="J2" i="5"/>
  <c r="G3" i="5"/>
  <c r="K3" i="5" s="1"/>
  <c r="J3" i="5"/>
  <c r="G4" i="5"/>
  <c r="J4" i="5"/>
  <c r="G5" i="5"/>
  <c r="J5" i="5"/>
  <c r="G6" i="5"/>
  <c r="J6" i="5"/>
  <c r="G7" i="5"/>
  <c r="J7" i="5"/>
  <c r="G8" i="5"/>
  <c r="J8" i="5"/>
  <c r="G9" i="5"/>
  <c r="J9" i="5"/>
  <c r="G10" i="5"/>
  <c r="J10" i="5"/>
  <c r="G11" i="5"/>
  <c r="J11" i="5"/>
  <c r="G12" i="5"/>
  <c r="J12" i="5"/>
  <c r="K12" i="5" s="1"/>
  <c r="G13" i="5"/>
  <c r="J13" i="5"/>
  <c r="G14" i="5"/>
  <c r="J14" i="5"/>
  <c r="K14" i="5"/>
  <c r="G15" i="5"/>
  <c r="J15" i="5"/>
  <c r="G16" i="5"/>
  <c r="J16" i="5"/>
  <c r="G17" i="5"/>
  <c r="K17" i="5" s="1"/>
  <c r="J17" i="5"/>
  <c r="G18" i="5"/>
  <c r="J18" i="5"/>
  <c r="G19" i="5"/>
  <c r="J19" i="5"/>
  <c r="K19" i="5" s="1"/>
  <c r="G20" i="5"/>
  <c r="J20" i="5"/>
  <c r="G21" i="5"/>
  <c r="K21" i="5" s="1"/>
  <c r="J21" i="5"/>
  <c r="G22" i="5"/>
  <c r="K22" i="5" s="1"/>
  <c r="J22" i="5"/>
  <c r="G23" i="5"/>
  <c r="J23" i="5"/>
  <c r="G24" i="5"/>
  <c r="J24" i="5"/>
  <c r="G25" i="5"/>
  <c r="K25" i="5" s="1"/>
  <c r="J25" i="5"/>
  <c r="G26" i="5"/>
  <c r="J26" i="5"/>
  <c r="G27" i="5"/>
  <c r="J27" i="5"/>
  <c r="K27" i="5"/>
  <c r="G28" i="5"/>
  <c r="J28" i="5"/>
  <c r="G29" i="5"/>
  <c r="J29" i="5"/>
  <c r="G30" i="5"/>
  <c r="J30" i="5"/>
  <c r="G31" i="5"/>
  <c r="J31" i="5"/>
  <c r="G32" i="5"/>
  <c r="J32" i="5"/>
  <c r="G33" i="5"/>
  <c r="K33" i="5" s="1"/>
  <c r="J33" i="5"/>
  <c r="G34" i="5"/>
  <c r="J34" i="5"/>
  <c r="G35" i="5"/>
  <c r="K35" i="5" s="1"/>
  <c r="J35" i="5"/>
  <c r="G36" i="5"/>
  <c r="J36" i="5"/>
  <c r="G37" i="5"/>
  <c r="J37" i="5"/>
  <c r="G38" i="5"/>
  <c r="J38" i="5"/>
  <c r="G39" i="5"/>
  <c r="J39" i="5"/>
  <c r="G40" i="5"/>
  <c r="J40" i="5"/>
  <c r="G41" i="5"/>
  <c r="K41" i="5" s="1"/>
  <c r="J41" i="5"/>
  <c r="G42" i="5"/>
  <c r="J42" i="5"/>
  <c r="G43" i="5"/>
  <c r="K43" i="5" s="1"/>
  <c r="J43" i="5"/>
  <c r="G44" i="5"/>
  <c r="J44" i="5"/>
  <c r="G45" i="5"/>
  <c r="J45" i="5"/>
  <c r="G46" i="5"/>
  <c r="J46" i="5"/>
  <c r="G47" i="5"/>
  <c r="J47" i="5"/>
  <c r="G48" i="5"/>
  <c r="K48" i="5" s="1"/>
  <c r="J48" i="5"/>
  <c r="G49" i="5"/>
  <c r="J49" i="5"/>
  <c r="G50" i="5"/>
  <c r="J50" i="5"/>
  <c r="G51" i="5"/>
  <c r="K51" i="5" s="1"/>
  <c r="J51" i="5"/>
  <c r="G52" i="5"/>
  <c r="J52" i="5"/>
  <c r="G53" i="5"/>
  <c r="J53" i="5"/>
  <c r="G54" i="5"/>
  <c r="J54" i="5"/>
  <c r="G55" i="5"/>
  <c r="K55" i="5" s="1"/>
  <c r="J55" i="5"/>
  <c r="G56" i="5"/>
  <c r="J56" i="5"/>
  <c r="G57" i="5"/>
  <c r="J57" i="5"/>
  <c r="K57" i="5" s="1"/>
  <c r="G58" i="5"/>
  <c r="J58" i="5"/>
  <c r="G59" i="5"/>
  <c r="K59" i="5" s="1"/>
  <c r="J59" i="5"/>
  <c r="G60" i="5"/>
  <c r="J60" i="5"/>
  <c r="G61" i="5"/>
  <c r="J61" i="5"/>
  <c r="G62" i="5"/>
  <c r="J62" i="5"/>
  <c r="G63" i="5"/>
  <c r="J63" i="5"/>
  <c r="G64" i="5"/>
  <c r="J64" i="5"/>
  <c r="G65" i="5"/>
  <c r="K65" i="5" s="1"/>
  <c r="J65" i="5"/>
  <c r="G66" i="5"/>
  <c r="J66" i="5"/>
  <c r="G67" i="5"/>
  <c r="J67" i="5"/>
  <c r="G68" i="5"/>
  <c r="J68" i="5"/>
  <c r="G69" i="5"/>
  <c r="K69" i="5" s="1"/>
  <c r="J69" i="5"/>
  <c r="G70" i="5"/>
  <c r="J70" i="5"/>
  <c r="G71" i="5"/>
  <c r="J71" i="5"/>
  <c r="G72" i="5"/>
  <c r="J72" i="5"/>
  <c r="K72" i="5"/>
  <c r="G73" i="5"/>
  <c r="K73" i="5" s="1"/>
  <c r="J73" i="5"/>
  <c r="G74" i="5"/>
  <c r="J74" i="5"/>
  <c r="G75" i="5"/>
  <c r="J75" i="5"/>
  <c r="K75" i="5"/>
  <c r="G76" i="5"/>
  <c r="K76" i="5" s="1"/>
  <c r="J76" i="5"/>
  <c r="G77" i="5"/>
  <c r="K77" i="5" s="1"/>
  <c r="J77" i="5"/>
  <c r="G78" i="5"/>
  <c r="J78" i="5"/>
  <c r="G79" i="5"/>
  <c r="J79" i="5"/>
  <c r="G80" i="5"/>
  <c r="K80" i="5" s="1"/>
  <c r="J80" i="5"/>
  <c r="G81" i="5"/>
  <c r="J81" i="5"/>
  <c r="K81" i="5"/>
  <c r="G82" i="5"/>
  <c r="J82" i="5"/>
  <c r="G83" i="5"/>
  <c r="K83" i="5" s="1"/>
  <c r="J83" i="5"/>
  <c r="G84" i="5"/>
  <c r="J84" i="5"/>
  <c r="G85" i="5"/>
  <c r="J85" i="5"/>
  <c r="G86" i="5"/>
  <c r="J86" i="5"/>
  <c r="G87" i="5"/>
  <c r="J87" i="5"/>
  <c r="G88" i="5"/>
  <c r="J88" i="5"/>
  <c r="K88" i="5"/>
  <c r="G89" i="5"/>
  <c r="J89" i="5"/>
  <c r="G90" i="5"/>
  <c r="J90" i="5"/>
  <c r="G91" i="5"/>
  <c r="J91" i="5"/>
  <c r="K91" i="5" s="1"/>
  <c r="G92" i="5"/>
  <c r="J92" i="5"/>
  <c r="G93" i="5"/>
  <c r="K93" i="5" s="1"/>
  <c r="J93" i="5"/>
  <c r="G94" i="5"/>
  <c r="J94" i="5"/>
  <c r="G95" i="5"/>
  <c r="J95" i="5"/>
  <c r="G96" i="5"/>
  <c r="J96" i="5"/>
  <c r="G97" i="5"/>
  <c r="K97" i="5" s="1"/>
  <c r="J97" i="5"/>
  <c r="G98" i="5"/>
  <c r="J98" i="5"/>
  <c r="G99" i="5"/>
  <c r="J99" i="5"/>
  <c r="K99" i="5" s="1"/>
  <c r="G100" i="5"/>
  <c r="K100" i="5" s="1"/>
  <c r="J100" i="5"/>
  <c r="G101" i="5"/>
  <c r="K101" i="5" s="1"/>
  <c r="J101" i="5"/>
  <c r="G102" i="5"/>
  <c r="J102" i="5"/>
  <c r="G103" i="5"/>
  <c r="J103" i="5"/>
  <c r="G104" i="5"/>
  <c r="K104" i="5" s="1"/>
  <c r="J104" i="5"/>
  <c r="G105" i="5"/>
  <c r="K105" i="5" s="1"/>
  <c r="J105" i="5"/>
  <c r="G106" i="5"/>
  <c r="J106" i="5"/>
  <c r="G107" i="5"/>
  <c r="K107" i="5" s="1"/>
  <c r="J107" i="5"/>
  <c r="G108" i="5"/>
  <c r="J108" i="5"/>
  <c r="G109" i="5"/>
  <c r="J109" i="5"/>
  <c r="G110" i="5"/>
  <c r="J110" i="5"/>
  <c r="G111" i="5"/>
  <c r="J111" i="5"/>
  <c r="G112" i="5"/>
  <c r="J112" i="5"/>
  <c r="K112" i="5" s="1"/>
  <c r="G113" i="5"/>
  <c r="J113" i="5"/>
  <c r="K113" i="5" s="1"/>
  <c r="G114" i="5"/>
  <c r="K114" i="5" s="1"/>
  <c r="J114" i="5"/>
  <c r="G115" i="5"/>
  <c r="J115" i="5"/>
  <c r="G116" i="5"/>
  <c r="J116" i="5"/>
  <c r="G117" i="5"/>
  <c r="K117" i="5" s="1"/>
  <c r="J117" i="5"/>
  <c r="G118" i="5"/>
  <c r="J118" i="5"/>
  <c r="G119" i="5"/>
  <c r="J119" i="5"/>
  <c r="G120" i="5"/>
  <c r="K120" i="5" s="1"/>
  <c r="J120" i="5"/>
  <c r="G121" i="5"/>
  <c r="J121" i="5"/>
  <c r="K121" i="5" s="1"/>
  <c r="G122" i="5"/>
  <c r="J122" i="5"/>
  <c r="G123" i="5"/>
  <c r="J123" i="5"/>
  <c r="G124" i="5"/>
  <c r="J124" i="5"/>
  <c r="G125" i="5"/>
  <c r="J125" i="5"/>
  <c r="G126" i="5"/>
  <c r="J126" i="5"/>
  <c r="K126" i="5" s="1"/>
  <c r="G127" i="5"/>
  <c r="J127" i="5"/>
  <c r="G128" i="5"/>
  <c r="K128" i="5" s="1"/>
  <c r="J128" i="5"/>
  <c r="G129" i="5"/>
  <c r="K129" i="5" s="1"/>
  <c r="J129" i="5"/>
  <c r="G130" i="5"/>
  <c r="J130" i="5"/>
  <c r="G131" i="5"/>
  <c r="K131" i="5" s="1"/>
  <c r="J131" i="5"/>
  <c r="G132" i="5"/>
  <c r="K132" i="5" s="1"/>
  <c r="J132" i="5"/>
  <c r="G133" i="5"/>
  <c r="J133" i="5"/>
  <c r="G134" i="5"/>
  <c r="J134" i="5"/>
  <c r="G135" i="5"/>
  <c r="K135" i="5" s="1"/>
  <c r="J135" i="5"/>
  <c r="G136" i="5"/>
  <c r="K136" i="5" s="1"/>
  <c r="J136" i="5"/>
  <c r="G137" i="5"/>
  <c r="K137" i="5" s="1"/>
  <c r="D17" i="4" s="1"/>
  <c r="J137" i="5"/>
  <c r="G138" i="5"/>
  <c r="J138" i="5"/>
  <c r="G139" i="5"/>
  <c r="J139" i="5"/>
  <c r="G140" i="5"/>
  <c r="J140" i="5"/>
  <c r="G141" i="5"/>
  <c r="J141" i="5"/>
  <c r="G142" i="5"/>
  <c r="J142" i="5"/>
  <c r="G143" i="5"/>
  <c r="J143" i="5"/>
  <c r="G144" i="5"/>
  <c r="J144" i="5"/>
  <c r="K144" i="5" s="1"/>
  <c r="G145" i="5"/>
  <c r="K145" i="5" s="1"/>
  <c r="J145" i="5"/>
  <c r="G146" i="5"/>
  <c r="J146" i="5"/>
  <c r="G147" i="5"/>
  <c r="J147" i="5"/>
  <c r="G148" i="5"/>
  <c r="J148" i="5"/>
  <c r="G149" i="5"/>
  <c r="K149" i="5" s="1"/>
  <c r="J149" i="5"/>
  <c r="G150" i="5"/>
  <c r="J150" i="5"/>
  <c r="K150" i="5" s="1"/>
  <c r="C151" i="5"/>
  <c r="D151" i="5"/>
  <c r="E151" i="5"/>
  <c r="F151" i="5"/>
  <c r="H151" i="5"/>
  <c r="I151" i="5"/>
  <c r="G153" i="5"/>
  <c r="J153" i="5"/>
  <c r="K89" i="5" l="1"/>
  <c r="K13" i="5"/>
  <c r="K9" i="5"/>
  <c r="K124" i="5"/>
  <c r="K42" i="5"/>
  <c r="K34" i="5"/>
  <c r="K16" i="5"/>
  <c r="K147" i="5"/>
  <c r="K143" i="5"/>
  <c r="K123" i="5"/>
  <c r="K49" i="5"/>
  <c r="K30" i="5"/>
  <c r="K23" i="5"/>
  <c r="K67" i="5"/>
  <c r="K52" i="5"/>
  <c r="K37" i="5"/>
  <c r="K11" i="5"/>
  <c r="K142" i="5"/>
  <c r="K138" i="5"/>
  <c r="K36" i="5"/>
  <c r="K153" i="5"/>
  <c r="K115" i="5"/>
  <c r="K66" i="5"/>
  <c r="K28" i="5"/>
  <c r="K10" i="5"/>
  <c r="K6" i="5"/>
  <c r="K2" i="5"/>
  <c r="O7" i="8"/>
  <c r="O155" i="8" s="1"/>
  <c r="O159" i="8" s="1"/>
  <c r="M155" i="8"/>
  <c r="K134" i="5"/>
  <c r="K106" i="5"/>
  <c r="K103" i="5"/>
  <c r="K96" i="5"/>
  <c r="K92" i="5"/>
  <c r="K82" i="5"/>
  <c r="K79" i="5"/>
  <c r="K58" i="5"/>
  <c r="K26" i="5"/>
  <c r="K5" i="5"/>
  <c r="K148" i="5"/>
  <c r="K141" i="5"/>
  <c r="K130" i="5"/>
  <c r="K127" i="5"/>
  <c r="K116" i="5"/>
  <c r="K109" i="5"/>
  <c r="K85" i="5"/>
  <c r="K68" i="5"/>
  <c r="K61" i="5"/>
  <c r="K54" i="5"/>
  <c r="K47" i="5"/>
  <c r="K40" i="5"/>
  <c r="K29" i="5"/>
  <c r="K15" i="5"/>
  <c r="K8" i="5"/>
  <c r="K4" i="5"/>
  <c r="K133" i="5"/>
  <c r="K102" i="5"/>
  <c r="K95" i="5"/>
  <c r="K78" i="5"/>
  <c r="K50" i="5"/>
  <c r="K18" i="5"/>
  <c r="K140" i="5"/>
  <c r="K122" i="5"/>
  <c r="K119" i="5"/>
  <c r="K108" i="5"/>
  <c r="K98" i="5"/>
  <c r="K94" i="5"/>
  <c r="K84" i="5"/>
  <c r="K74" i="5"/>
  <c r="K71" i="5"/>
  <c r="K64" i="5"/>
  <c r="K60" i="5"/>
  <c r="K53" i="5"/>
  <c r="K46" i="5"/>
  <c r="K39" i="5"/>
  <c r="K32" i="5"/>
  <c r="K7" i="5"/>
  <c r="K146" i="5"/>
  <c r="K139" i="5"/>
  <c r="K125" i="5"/>
  <c r="K118" i="5"/>
  <c r="K111" i="5"/>
  <c r="K90" i="5"/>
  <c r="K87" i="5"/>
  <c r="K70" i="5"/>
  <c r="K63" i="5"/>
  <c r="K56" i="5"/>
  <c r="K45" i="5"/>
  <c r="K38" i="5"/>
  <c r="K31" i="5"/>
  <c r="K24" i="5"/>
  <c r="K20" i="5"/>
  <c r="K110" i="5"/>
  <c r="K86" i="5"/>
  <c r="K62" i="5"/>
  <c r="K44" i="5"/>
  <c r="J151" i="5"/>
  <c r="G151" i="5"/>
  <c r="U152" i="2"/>
  <c r="V152" i="2"/>
  <c r="W152" i="2"/>
  <c r="U5" i="2"/>
  <c r="V5" i="2"/>
  <c r="W5" i="2"/>
  <c r="X5" i="2" s="1"/>
  <c r="U6" i="2"/>
  <c r="X6" i="2" s="1"/>
  <c r="V6" i="2"/>
  <c r="W6" i="2"/>
  <c r="U7" i="2"/>
  <c r="V7" i="2"/>
  <c r="W7" i="2"/>
  <c r="U8" i="2"/>
  <c r="V8" i="2"/>
  <c r="W8" i="2"/>
  <c r="U9" i="2"/>
  <c r="V9" i="2"/>
  <c r="W9" i="2"/>
  <c r="X9" i="2" s="1"/>
  <c r="U10" i="2"/>
  <c r="X10" i="2" s="1"/>
  <c r="V10" i="2"/>
  <c r="W10" i="2"/>
  <c r="U11" i="2"/>
  <c r="V11" i="2"/>
  <c r="W11" i="2"/>
  <c r="U12" i="2"/>
  <c r="V12" i="2"/>
  <c r="W12" i="2"/>
  <c r="U13" i="2"/>
  <c r="V13" i="2"/>
  <c r="W13" i="2"/>
  <c r="U14" i="2"/>
  <c r="X14" i="2" s="1"/>
  <c r="V14" i="2"/>
  <c r="W14" i="2"/>
  <c r="U15" i="2"/>
  <c r="X15" i="2" s="1"/>
  <c r="V15" i="2"/>
  <c r="W15" i="2"/>
  <c r="U16" i="2"/>
  <c r="V16" i="2"/>
  <c r="W16" i="2"/>
  <c r="U17" i="2"/>
  <c r="V17" i="2"/>
  <c r="W17" i="2"/>
  <c r="U18" i="2"/>
  <c r="X18" i="2" s="1"/>
  <c r="V18" i="2"/>
  <c r="W18" i="2"/>
  <c r="U19" i="2"/>
  <c r="V19" i="2"/>
  <c r="W19" i="2"/>
  <c r="U20" i="2"/>
  <c r="V20" i="2"/>
  <c r="W20" i="2"/>
  <c r="U21" i="2"/>
  <c r="V21" i="2"/>
  <c r="W21" i="2"/>
  <c r="U22" i="2"/>
  <c r="X22" i="2" s="1"/>
  <c r="V22" i="2"/>
  <c r="W22" i="2"/>
  <c r="U23" i="2"/>
  <c r="X23" i="2" s="1"/>
  <c r="V23" i="2"/>
  <c r="W23" i="2"/>
  <c r="U24" i="2"/>
  <c r="V24" i="2"/>
  <c r="W24" i="2"/>
  <c r="U25" i="2"/>
  <c r="V25" i="2"/>
  <c r="W25" i="2"/>
  <c r="U26" i="2"/>
  <c r="X26" i="2" s="1"/>
  <c r="V26" i="2"/>
  <c r="W26" i="2"/>
  <c r="U27" i="2"/>
  <c r="V27" i="2"/>
  <c r="W27" i="2"/>
  <c r="U28" i="2"/>
  <c r="V28" i="2"/>
  <c r="W28" i="2"/>
  <c r="U29" i="2"/>
  <c r="V29" i="2"/>
  <c r="W29" i="2"/>
  <c r="U30" i="2"/>
  <c r="X30" i="2" s="1"/>
  <c r="V30" i="2"/>
  <c r="W30" i="2"/>
  <c r="U31" i="2"/>
  <c r="X31" i="2" s="1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X38" i="2" s="1"/>
  <c r="V38" i="2"/>
  <c r="W38" i="2"/>
  <c r="U39" i="2"/>
  <c r="X39" i="2" s="1"/>
  <c r="V39" i="2"/>
  <c r="W39" i="2"/>
  <c r="U40" i="2"/>
  <c r="V40" i="2"/>
  <c r="W40" i="2"/>
  <c r="U41" i="2"/>
  <c r="V41" i="2"/>
  <c r="W41" i="2"/>
  <c r="U42" i="2"/>
  <c r="X42" i="2" s="1"/>
  <c r="V42" i="2"/>
  <c r="W42" i="2"/>
  <c r="U43" i="2"/>
  <c r="V43" i="2"/>
  <c r="W43" i="2"/>
  <c r="U44" i="2"/>
  <c r="V44" i="2"/>
  <c r="W44" i="2"/>
  <c r="U45" i="2"/>
  <c r="V45" i="2"/>
  <c r="W45" i="2"/>
  <c r="U46" i="2"/>
  <c r="V46" i="2"/>
  <c r="W46" i="2"/>
  <c r="U47" i="2"/>
  <c r="X47" i="2" s="1"/>
  <c r="V47" i="2"/>
  <c r="W47" i="2"/>
  <c r="U48" i="2"/>
  <c r="V48" i="2"/>
  <c r="W48" i="2"/>
  <c r="U49" i="2"/>
  <c r="V49" i="2"/>
  <c r="W49" i="2"/>
  <c r="U50" i="2"/>
  <c r="X50" i="2" s="1"/>
  <c r="V50" i="2"/>
  <c r="W50" i="2"/>
  <c r="U51" i="2"/>
  <c r="V51" i="2"/>
  <c r="W51" i="2"/>
  <c r="U52" i="2"/>
  <c r="V52" i="2"/>
  <c r="W52" i="2"/>
  <c r="U53" i="2"/>
  <c r="V53" i="2"/>
  <c r="W53" i="2"/>
  <c r="U54" i="2"/>
  <c r="X54" i="2" s="1"/>
  <c r="V54" i="2"/>
  <c r="W54" i="2"/>
  <c r="U55" i="2"/>
  <c r="X55" i="2" s="1"/>
  <c r="V55" i="2"/>
  <c r="W55" i="2"/>
  <c r="U56" i="2"/>
  <c r="V56" i="2"/>
  <c r="W56" i="2"/>
  <c r="U57" i="2"/>
  <c r="V57" i="2"/>
  <c r="W57" i="2"/>
  <c r="U58" i="2"/>
  <c r="X58" i="2" s="1"/>
  <c r="V58" i="2"/>
  <c r="W58" i="2"/>
  <c r="U59" i="2"/>
  <c r="V59" i="2"/>
  <c r="W59" i="2"/>
  <c r="U60" i="2"/>
  <c r="V60" i="2"/>
  <c r="W60" i="2"/>
  <c r="U61" i="2"/>
  <c r="V61" i="2"/>
  <c r="W61" i="2"/>
  <c r="U62" i="2"/>
  <c r="X62" i="2" s="1"/>
  <c r="V62" i="2"/>
  <c r="W62" i="2"/>
  <c r="U63" i="2"/>
  <c r="X63" i="2" s="1"/>
  <c r="V63" i="2"/>
  <c r="W63" i="2"/>
  <c r="U64" i="2"/>
  <c r="V64" i="2"/>
  <c r="W64" i="2"/>
  <c r="U65" i="2"/>
  <c r="V65" i="2"/>
  <c r="W65" i="2"/>
  <c r="U66" i="2"/>
  <c r="X66" i="2" s="1"/>
  <c r="V66" i="2"/>
  <c r="W66" i="2"/>
  <c r="U67" i="2"/>
  <c r="V67" i="2"/>
  <c r="W67" i="2"/>
  <c r="U68" i="2"/>
  <c r="V68" i="2"/>
  <c r="W68" i="2"/>
  <c r="U69" i="2"/>
  <c r="V69" i="2"/>
  <c r="W69" i="2"/>
  <c r="U70" i="2"/>
  <c r="X70" i="2" s="1"/>
  <c r="V70" i="2"/>
  <c r="W70" i="2"/>
  <c r="U71" i="2"/>
  <c r="X71" i="2" s="1"/>
  <c r="V71" i="2"/>
  <c r="W71" i="2"/>
  <c r="U72" i="2"/>
  <c r="V72" i="2"/>
  <c r="W72" i="2"/>
  <c r="U73" i="2"/>
  <c r="V73" i="2"/>
  <c r="W73" i="2"/>
  <c r="U74" i="2"/>
  <c r="X74" i="2" s="1"/>
  <c r="V74" i="2"/>
  <c r="W74" i="2"/>
  <c r="U75" i="2"/>
  <c r="V75" i="2"/>
  <c r="W75" i="2"/>
  <c r="U76" i="2"/>
  <c r="V76" i="2"/>
  <c r="W76" i="2"/>
  <c r="U77" i="2"/>
  <c r="V77" i="2"/>
  <c r="W77" i="2"/>
  <c r="U78" i="2"/>
  <c r="X78" i="2" s="1"/>
  <c r="V78" i="2"/>
  <c r="W78" i="2"/>
  <c r="U79" i="2"/>
  <c r="X79" i="2" s="1"/>
  <c r="V79" i="2"/>
  <c r="W79" i="2"/>
  <c r="U80" i="2"/>
  <c r="V80" i="2"/>
  <c r="W80" i="2"/>
  <c r="U81" i="2"/>
  <c r="V81" i="2"/>
  <c r="W81" i="2"/>
  <c r="U82" i="2"/>
  <c r="X82" i="2" s="1"/>
  <c r="V82" i="2"/>
  <c r="W82" i="2"/>
  <c r="U83" i="2"/>
  <c r="V83" i="2"/>
  <c r="W83" i="2"/>
  <c r="U84" i="2"/>
  <c r="V84" i="2"/>
  <c r="W84" i="2"/>
  <c r="U85" i="2"/>
  <c r="V85" i="2"/>
  <c r="W85" i="2"/>
  <c r="U86" i="2"/>
  <c r="X86" i="2" s="1"/>
  <c r="V86" i="2"/>
  <c r="W86" i="2"/>
  <c r="U87" i="2"/>
  <c r="X87" i="2" s="1"/>
  <c r="V87" i="2"/>
  <c r="W87" i="2"/>
  <c r="U88" i="2"/>
  <c r="V88" i="2"/>
  <c r="W88" i="2"/>
  <c r="U89" i="2"/>
  <c r="V89" i="2"/>
  <c r="W89" i="2"/>
  <c r="U90" i="2"/>
  <c r="X90" i="2" s="1"/>
  <c r="V90" i="2"/>
  <c r="W90" i="2"/>
  <c r="U91" i="2"/>
  <c r="V91" i="2"/>
  <c r="W91" i="2"/>
  <c r="U92" i="2"/>
  <c r="V92" i="2"/>
  <c r="W92" i="2"/>
  <c r="U93" i="2"/>
  <c r="V93" i="2"/>
  <c r="W93" i="2"/>
  <c r="U94" i="2"/>
  <c r="X94" i="2" s="1"/>
  <c r="V94" i="2"/>
  <c r="W94" i="2"/>
  <c r="U95" i="2"/>
  <c r="X95" i="2" s="1"/>
  <c r="V95" i="2"/>
  <c r="W95" i="2"/>
  <c r="U96" i="2"/>
  <c r="V96" i="2"/>
  <c r="W96" i="2"/>
  <c r="U97" i="2"/>
  <c r="V97" i="2"/>
  <c r="W97" i="2"/>
  <c r="U98" i="2"/>
  <c r="X98" i="2" s="1"/>
  <c r="V98" i="2"/>
  <c r="W98" i="2"/>
  <c r="U99" i="2"/>
  <c r="V99" i="2"/>
  <c r="W99" i="2"/>
  <c r="U100" i="2"/>
  <c r="V100" i="2"/>
  <c r="W100" i="2"/>
  <c r="U101" i="2"/>
  <c r="V101" i="2"/>
  <c r="W101" i="2"/>
  <c r="U102" i="2"/>
  <c r="X102" i="2" s="1"/>
  <c r="V102" i="2"/>
  <c r="W102" i="2"/>
  <c r="U103" i="2"/>
  <c r="X103" i="2" s="1"/>
  <c r="V103" i="2"/>
  <c r="W103" i="2"/>
  <c r="U104" i="2"/>
  <c r="V104" i="2"/>
  <c r="W104" i="2"/>
  <c r="U105" i="2"/>
  <c r="V105" i="2"/>
  <c r="W105" i="2"/>
  <c r="U106" i="2"/>
  <c r="X106" i="2" s="1"/>
  <c r="V106" i="2"/>
  <c r="W106" i="2"/>
  <c r="U107" i="2"/>
  <c r="V107" i="2"/>
  <c r="W107" i="2"/>
  <c r="U108" i="2"/>
  <c r="V108" i="2"/>
  <c r="W108" i="2"/>
  <c r="U109" i="2"/>
  <c r="V109" i="2"/>
  <c r="W109" i="2"/>
  <c r="U110" i="2"/>
  <c r="X110" i="2" s="1"/>
  <c r="V110" i="2"/>
  <c r="W110" i="2"/>
  <c r="U111" i="2"/>
  <c r="X111" i="2" s="1"/>
  <c r="V111" i="2"/>
  <c r="W111" i="2"/>
  <c r="U112" i="2"/>
  <c r="V112" i="2"/>
  <c r="W112" i="2"/>
  <c r="U113" i="2"/>
  <c r="V113" i="2"/>
  <c r="W113" i="2"/>
  <c r="U114" i="2"/>
  <c r="X114" i="2" s="1"/>
  <c r="V114" i="2"/>
  <c r="W114" i="2"/>
  <c r="U115" i="2"/>
  <c r="V115" i="2"/>
  <c r="W115" i="2"/>
  <c r="U116" i="2"/>
  <c r="V116" i="2"/>
  <c r="W116" i="2"/>
  <c r="U117" i="2"/>
  <c r="V117" i="2"/>
  <c r="W117" i="2"/>
  <c r="U118" i="2"/>
  <c r="X118" i="2" s="1"/>
  <c r="V118" i="2"/>
  <c r="W118" i="2"/>
  <c r="U119" i="2"/>
  <c r="X119" i="2" s="1"/>
  <c r="V119" i="2"/>
  <c r="W119" i="2"/>
  <c r="U120" i="2"/>
  <c r="V120" i="2"/>
  <c r="W120" i="2"/>
  <c r="U121" i="2"/>
  <c r="V121" i="2"/>
  <c r="W121" i="2"/>
  <c r="U122" i="2"/>
  <c r="X122" i="2" s="1"/>
  <c r="V122" i="2"/>
  <c r="W122" i="2"/>
  <c r="U123" i="2"/>
  <c r="V123" i="2"/>
  <c r="W123" i="2"/>
  <c r="U124" i="2"/>
  <c r="V124" i="2"/>
  <c r="W124" i="2"/>
  <c r="U125" i="2"/>
  <c r="V125" i="2"/>
  <c r="W125" i="2"/>
  <c r="U126" i="2"/>
  <c r="X126" i="2" s="1"/>
  <c r="V126" i="2"/>
  <c r="W126" i="2"/>
  <c r="U127" i="2"/>
  <c r="V127" i="2"/>
  <c r="W127" i="2"/>
  <c r="U128" i="2"/>
  <c r="V128" i="2"/>
  <c r="W128" i="2"/>
  <c r="U129" i="2"/>
  <c r="V129" i="2"/>
  <c r="W129" i="2"/>
  <c r="U130" i="2"/>
  <c r="X130" i="2" s="1"/>
  <c r="V130" i="2"/>
  <c r="W130" i="2"/>
  <c r="U131" i="2"/>
  <c r="V131" i="2"/>
  <c r="W131" i="2"/>
  <c r="U132" i="2"/>
  <c r="V132" i="2"/>
  <c r="W132" i="2"/>
  <c r="U133" i="2"/>
  <c r="V133" i="2"/>
  <c r="W133" i="2"/>
  <c r="U134" i="2"/>
  <c r="X134" i="2" s="1"/>
  <c r="V134" i="2"/>
  <c r="W134" i="2"/>
  <c r="U135" i="2"/>
  <c r="X135" i="2" s="1"/>
  <c r="V135" i="2"/>
  <c r="W135" i="2"/>
  <c r="U136" i="2"/>
  <c r="V136" i="2"/>
  <c r="W136" i="2"/>
  <c r="U137" i="2"/>
  <c r="V137" i="2"/>
  <c r="W137" i="2"/>
  <c r="U138" i="2"/>
  <c r="X138" i="2" s="1"/>
  <c r="V138" i="2"/>
  <c r="W138" i="2"/>
  <c r="U139" i="2"/>
  <c r="V139" i="2"/>
  <c r="F26" i="1" s="1"/>
  <c r="F28" i="1" s="1"/>
  <c r="F30" i="1" s="1"/>
  <c r="W139" i="2"/>
  <c r="G26" i="1" s="1"/>
  <c r="G28" i="1" s="1"/>
  <c r="G30" i="1" s="1"/>
  <c r="U140" i="2"/>
  <c r="V140" i="2"/>
  <c r="W140" i="2"/>
  <c r="U141" i="2"/>
  <c r="V141" i="2"/>
  <c r="W141" i="2"/>
  <c r="U142" i="2"/>
  <c r="V142" i="2"/>
  <c r="W142" i="2"/>
  <c r="U143" i="2"/>
  <c r="X143" i="2" s="1"/>
  <c r="V143" i="2"/>
  <c r="W143" i="2"/>
  <c r="U144" i="2"/>
  <c r="V144" i="2"/>
  <c r="W144" i="2"/>
  <c r="U145" i="2"/>
  <c r="V145" i="2"/>
  <c r="W145" i="2"/>
  <c r="U146" i="2"/>
  <c r="X146" i="2" s="1"/>
  <c r="V146" i="2"/>
  <c r="W146" i="2"/>
  <c r="U147" i="2"/>
  <c r="V147" i="2"/>
  <c r="W147" i="2"/>
  <c r="U148" i="2"/>
  <c r="V148" i="2"/>
  <c r="W148" i="2"/>
  <c r="U149" i="2"/>
  <c r="V149" i="2"/>
  <c r="W149" i="2"/>
  <c r="U150" i="2"/>
  <c r="V150" i="2"/>
  <c r="W150" i="2"/>
  <c r="U151" i="2"/>
  <c r="X151" i="2" s="1"/>
  <c r="V151" i="2"/>
  <c r="W151" i="2"/>
  <c r="W4" i="2"/>
  <c r="V4" i="2"/>
  <c r="U4" i="2"/>
  <c r="X4" i="2" s="1"/>
  <c r="X127" i="2" l="1"/>
  <c r="X154" i="2" s="1"/>
  <c r="U154" i="2"/>
  <c r="X46" i="2"/>
  <c r="X34" i="2"/>
  <c r="X148" i="2"/>
  <c r="X140" i="2"/>
  <c r="X132" i="2"/>
  <c r="X124" i="2"/>
  <c r="X116" i="2"/>
  <c r="X108" i="2"/>
  <c r="X100" i="2"/>
  <c r="X92" i="2"/>
  <c r="X84" i="2"/>
  <c r="X76" i="2"/>
  <c r="X68" i="2"/>
  <c r="X60" i="2"/>
  <c r="X52" i="2"/>
  <c r="X44" i="2"/>
  <c r="X36" i="2"/>
  <c r="X28" i="2"/>
  <c r="X20" i="2"/>
  <c r="X12" i="2"/>
  <c r="X152" i="2"/>
  <c r="X137" i="2"/>
  <c r="X129" i="2"/>
  <c r="X121" i="2"/>
  <c r="X113" i="2"/>
  <c r="X105" i="2"/>
  <c r="X97" i="2"/>
  <c r="X89" i="2"/>
  <c r="X81" i="2"/>
  <c r="X73" i="2"/>
  <c r="X65" i="2"/>
  <c r="X57" i="2"/>
  <c r="X49" i="2"/>
  <c r="X41" i="2"/>
  <c r="X33" i="2"/>
  <c r="X25" i="2"/>
  <c r="X17" i="2"/>
  <c r="K151" i="5"/>
  <c r="K155" i="5" s="1"/>
  <c r="X139" i="2"/>
  <c r="E26" i="1"/>
  <c r="X131" i="2"/>
  <c r="X123" i="2"/>
  <c r="X115" i="2"/>
  <c r="X107" i="2"/>
  <c r="X99" i="2"/>
  <c r="X91" i="2"/>
  <c r="X83" i="2"/>
  <c r="X75" i="2"/>
  <c r="X67" i="2"/>
  <c r="X59" i="2"/>
  <c r="X51" i="2"/>
  <c r="X43" i="2"/>
  <c r="X35" i="2"/>
  <c r="X27" i="2"/>
  <c r="X19" i="2"/>
  <c r="X11" i="2"/>
  <c r="X147" i="2"/>
  <c r="X144" i="2"/>
  <c r="X136" i="2"/>
  <c r="X128" i="2"/>
  <c r="X120" i="2"/>
  <c r="X112" i="2"/>
  <c r="X104" i="2"/>
  <c r="X96" i="2"/>
  <c r="X88" i="2"/>
  <c r="X80" i="2"/>
  <c r="X72" i="2"/>
  <c r="X64" i="2"/>
  <c r="X56" i="2"/>
  <c r="X48" i="2"/>
  <c r="X40" i="2"/>
  <c r="X32" i="2"/>
  <c r="X24" i="2"/>
  <c r="X16" i="2"/>
  <c r="X8" i="2"/>
  <c r="X145" i="2"/>
  <c r="X150" i="2"/>
  <c r="X142" i="2"/>
  <c r="X149" i="2"/>
  <c r="X141" i="2"/>
  <c r="X133" i="2"/>
  <c r="X125" i="2"/>
  <c r="X117" i="2"/>
  <c r="X109" i="2"/>
  <c r="X101" i="2"/>
  <c r="X93" i="2"/>
  <c r="X85" i="2"/>
  <c r="X77" i="2"/>
  <c r="X69" i="2"/>
  <c r="X61" i="2"/>
  <c r="X53" i="2"/>
  <c r="X45" i="2"/>
  <c r="X37" i="2"/>
  <c r="X29" i="2"/>
  <c r="X21" i="2"/>
  <c r="X13" i="2"/>
  <c r="X7" i="2"/>
  <c r="E28" i="1" l="1"/>
  <c r="H26" i="1"/>
  <c r="E30" i="1" l="1"/>
  <c r="H30" i="1" s="1"/>
  <c r="B37" i="1" s="1"/>
  <c r="B19" i="13" s="1"/>
  <c r="C19" i="13" s="1"/>
  <c r="H28" i="1"/>
  <c r="B23" i="1"/>
  <c r="C21" i="13" l="1"/>
  <c r="C29" i="13" s="1"/>
  <c r="B38" i="1"/>
  <c r="B15" i="4" s="1"/>
  <c r="B45" i="1"/>
  <c r="B5" i="18" s="1"/>
  <c r="B15" i="1"/>
  <c r="B5" i="4" l="1"/>
  <c r="B9" i="13"/>
  <c r="B9" i="1"/>
  <c r="B10" i="13" s="1"/>
  <c r="B10" i="1" l="1"/>
  <c r="B6" i="4"/>
  <c r="B16" i="1"/>
  <c r="B18" i="1" l="1"/>
  <c r="B14" i="13" s="1"/>
  <c r="B24" i="1" l="1"/>
  <c r="B10" i="4"/>
  <c r="B28" i="1" l="1"/>
  <c r="B15" i="13"/>
  <c r="B11" i="4"/>
  <c r="B13" i="4" s="1"/>
  <c r="B30" i="1" l="1"/>
  <c r="B17" i="13"/>
  <c r="B34" i="1" l="1"/>
  <c r="B40" i="1" s="1"/>
  <c r="B18" i="13"/>
  <c r="B14" i="4" l="1"/>
  <c r="E18" i="13"/>
  <c r="D18" i="13"/>
  <c r="B21" i="13" l="1"/>
  <c r="B17" i="4"/>
  <c r="B46" i="1"/>
  <c r="B6" i="18" s="1"/>
  <c r="B13" i="18" s="1"/>
  <c r="B14" i="18" s="1"/>
  <c r="E21" i="13" l="1"/>
  <c r="B29" i="13"/>
  <c r="D21" i="13"/>
  <c r="B53" i="1"/>
  <c r="O29" i="13"/>
  <c r="N29" i="13"/>
  <c r="D29" i="13" l="1"/>
  <c r="E29" i="13"/>
  <c r="Q29" i="13"/>
  <c r="P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Flett, Matt</author>
  </authors>
  <commentList>
    <comment ref="A5" authorId="0" shapeId="0" xr:uid="{998051B4-4213-429F-BD65-F96A698D4DFF}">
      <text>
        <r>
          <rPr>
            <sz val="9"/>
            <color indexed="81"/>
            <rFont val="Tahoma"/>
            <family val="2"/>
          </rPr>
          <t>Select your School District from dropdown box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  <author>DEPR15407</author>
  </authors>
  <commentList>
    <comment ref="N76" authorId="0" shapeId="0" xr:uid="{C39678E2-8E3F-4565-A40E-05C366B5F2BD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email from K Christopherson removing one student 5/4/2016</t>
        </r>
      </text>
    </comment>
    <comment ref="L94" authorId="0" shapeId="0" xr:uid="{5B52E69D-8C4E-410B-A2C6-3C436F3F663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count reduced by 1, see email 6/3/2014</t>
        </r>
      </text>
    </comment>
    <comment ref="E97" authorId="1" shapeId="0" xr:uid="{64273DBF-BECC-485E-AA36-E8B8A3EF9179}">
      <text>
        <r>
          <rPr>
            <b/>
            <sz val="8"/>
            <color indexed="81"/>
            <rFont val="Tahoma"/>
            <family val="2"/>
          </rPr>
          <t>DEPR15407:</t>
        </r>
        <r>
          <rPr>
            <sz val="8"/>
            <color indexed="81"/>
            <rFont val="Tahoma"/>
            <family val="2"/>
          </rPr>
          <t xml:space="preserve">
Changed on 10/17/07 as per documentation provided by SW</t>
        </r>
      </text>
    </comment>
    <comment ref="M134" authorId="0" shapeId="0" xr:uid="{3E1F2D1A-728A-402E-B8DE-6806AF0AEC47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student on 7/5/2015 - approved by T. Darnall.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Leiferman, Bobbi</author>
  </authors>
  <commentList>
    <comment ref="F39" authorId="0" shapeId="0" xr:uid="{85C54515-5CBA-4875-B578-1D94F4B6ED2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Deuel Original Base:  $307,946.59</t>
        </r>
      </text>
    </comment>
    <comment ref="F97" authorId="0" shapeId="0" xr:uid="{84A03E38-43A7-4C2A-8B6F-46EE03B20E3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Milbank Original Base:  440,440.14</t>
        </r>
      </text>
    </comment>
    <comment ref="F141" authorId="0" shapeId="0" xr:uid="{D7337441-8465-4A65-AE3D-DE4C355B14CF}">
      <text>
        <r>
          <rPr>
            <sz val="9"/>
            <color indexed="81"/>
            <rFont val="Tahoma"/>
            <family val="2"/>
          </rPr>
          <t xml:space="preserve">Base amount adjusted to include proportionate share from Grant-Deuel dissolution:
Waverly Original Base:  135,485.69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09" authorId="0" shapeId="0" xr:uid="{00000000-0006-0000-0000-000001000000}">
      <text>
        <r>
          <rPr>
            <sz val="9"/>
            <color indexed="81"/>
            <rFont val="Tahoma"/>
            <family val="2"/>
          </rPr>
          <t>Remove Our Home 2017 student count before caclulating student to staff ratio.</t>
        </r>
      </text>
    </comment>
    <comment ref="E111" authorId="0" shapeId="0" xr:uid="{00000000-0006-0000-0000-000002000000}">
      <text>
        <r>
          <rPr>
            <sz val="9"/>
            <color indexed="81"/>
            <rFont val="Tahoma"/>
            <family val="2"/>
          </rPr>
          <t>Remove fall 2017
APA student count before calculating ratio.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51" authorId="0" shapeId="0" xr:uid="{00000000-0006-0000-0000-000001000000}">
      <text>
        <r>
          <rPr>
            <sz val="9"/>
            <color indexed="81"/>
            <rFont val="Tahoma"/>
            <family val="2"/>
          </rPr>
          <t>Difference is due to closure of Grant-Deuel School District - $275,843.</t>
        </r>
      </text>
    </comment>
  </commentList>
</comments>
</file>

<file path=xl/sharedStrings.xml><?xml version="1.0" encoding="utf-8"?>
<sst xmlns="http://schemas.openxmlformats.org/spreadsheetml/2006/main" count="2731" uniqueCount="600">
  <si>
    <t>State Aid Share for Non-Teacher Expenses</t>
  </si>
  <si>
    <t>X LEP Weight</t>
  </si>
  <si>
    <t>LEP Adjustment</t>
  </si>
  <si>
    <t>Weighted LEP Student Count</t>
  </si>
  <si>
    <t>LEP Adjustment Teachers</t>
  </si>
  <si>
    <t>Overhead Costs</t>
  </si>
  <si>
    <t>Formula Number of Certified Instructional Staff FTE:</t>
  </si>
  <si>
    <t>Formula Number of Certified Instructional Staff FTE</t>
  </si>
  <si>
    <t>Formula Certified Instructional Staff Salary/Benefit Need:</t>
  </si>
  <si>
    <t>Target Certified Instructional Staff Salaries + Benefits</t>
  </si>
  <si>
    <t>Need based on Certified Instructional Staff Salaries/Benefits</t>
  </si>
  <si>
    <t>X Target Student/Certified Instructional Staff FTE Ratio</t>
  </si>
  <si>
    <t>X Target Certified Instructional Staff Benefits %</t>
  </si>
  <si>
    <t>MINUS</t>
  </si>
  <si>
    <t>General State Aid</t>
  </si>
  <si>
    <t xml:space="preserve">Target Certified Instructional Staff Salary </t>
  </si>
  <si>
    <t>Pay 2019 Valuations, by School District</t>
  </si>
  <si>
    <t>as of 1/7/2019</t>
  </si>
  <si>
    <t>Dist #</t>
  </si>
  <si>
    <t>School District</t>
  </si>
  <si>
    <t xml:space="preserve">Agricultural </t>
  </si>
  <si>
    <t>Owner Occupied</t>
  </si>
  <si>
    <t>Mobile Home</t>
  </si>
  <si>
    <t>Mobile Home - Owner Occupied</t>
  </si>
  <si>
    <t xml:space="preserve">Other </t>
  </si>
  <si>
    <t>Utility</t>
  </si>
  <si>
    <t>Agricultural Discretionary</t>
  </si>
  <si>
    <t>Owner-Occupied Discretionary</t>
  </si>
  <si>
    <t>Mobile Home Discretionary</t>
  </si>
  <si>
    <t>Mobile Home - Owner Occupied Discretionary</t>
  </si>
  <si>
    <t>Other Discretionary</t>
  </si>
  <si>
    <t>Agricultural TIF</t>
  </si>
  <si>
    <t>Owner-Occupied TIF</t>
  </si>
  <si>
    <t>Mobile Home TIF</t>
  </si>
  <si>
    <t>Mobile Home Owner-Occupied TIF</t>
  </si>
  <si>
    <t>Other TIF</t>
  </si>
  <si>
    <t>Utility TIF</t>
  </si>
  <si>
    <t>ABERDEEN</t>
  </si>
  <si>
    <t>AGAR - BLUNT - ONIDA</t>
  </si>
  <si>
    <t>ALCESTER - HUDSON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</si>
  <si>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</si>
  <si>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</si>
  <si>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</si>
  <si>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</si>
  <si>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</si>
  <si>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</si>
  <si>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</si>
  <si>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</si>
  <si>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BIG STONE CITY</t>
  </si>
  <si>
    <t>BISON</t>
  </si>
  <si>
    <t>BON HOMME</t>
  </si>
  <si>
    <t>BOWDLE</t>
  </si>
  <si>
    <t>BRANDON VALLEY</t>
  </si>
  <si>
    <t>BRIDGEWATER - 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</si>
  <si>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</si>
  <si>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</si>
  <si>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</si>
  <si>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</si>
  <si>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</si>
  <si>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</si>
  <si>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</si>
  <si>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</si>
  <si>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</si>
  <si>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</si>
  <si>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COLMAN - EGAN</t>
  </si>
  <si>
    <t>COLOME CONSOLIDATED</t>
  </si>
  <si>
    <t>CORSICA - STICKNEY</t>
  </si>
  <si>
    <t>CUSTER</t>
  </si>
  <si>
    <t>DAKOTA VALLEY</t>
  </si>
  <si>
    <t>DE SMET</t>
  </si>
  <si>
    <t>DELL RAPIDS</t>
  </si>
  <si>
    <t>DEUBROOK 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</si>
  <si>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</si>
  <si>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</si>
  <si>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</si>
  <si>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</si>
  <si>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</si>
  <si>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</si>
  <si>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</si>
  <si>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</si>
  <si>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</si>
  <si>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</si>
  <si>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</si>
  <si>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</si>
  <si>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</si>
  <si>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</si>
  <si>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FAULKTON AREA SCHOOLS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</si>
  <si>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</si>
  <si>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</si>
  <si>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</si>
  <si>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</si>
  <si>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</si>
  <si>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</si>
  <si>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</si>
  <si>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</si>
  <si>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</si>
  <si>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</si>
  <si>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</si>
  <si>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</si>
  <si>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</si>
  <si>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</si>
  <si>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</si>
  <si>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HERREID</t>
  </si>
  <si>
    <t>HIGHMORE - HARROLD</t>
  </si>
  <si>
    <t>HILL CITY</t>
  </si>
  <si>
    <t>HITCHCOCK - TULARE</t>
  </si>
  <si>
    <t>HOT SPRINGS</t>
  </si>
  <si>
    <t>HOVEN</t>
  </si>
  <si>
    <t>HOWARD</t>
  </si>
  <si>
    <t>HURON</t>
  </si>
  <si>
    <t>IPSWICH PUBLIC</t>
  </si>
  <si>
    <t>IRENE - WAKONDA</t>
  </si>
  <si>
    <t>IROQUOIS</t>
  </si>
  <si>
    <t>JONES COUNTY</t>
  </si>
  <si>
    <t>KADOKA AREA</t>
  </si>
  <si>
    <t>KIMBALL</t>
  </si>
  <si>
    <t>LAKE PRESTON</t>
  </si>
  <si>
    <t>LANGFORD AREA</t>
  </si>
  <si>
    <t>LEAD-DEADWOOD</t>
  </si>
  <si>
    <t>LEMMON</t>
  </si>
  <si>
    <t>LENNOX</t>
  </si>
  <si>
    <t>LEOLA</t>
  </si>
  <si>
    <t>LYMAN</t>
  </si>
  <si>
    <t>MADISON CENTRAL</t>
  </si>
  <si>
    <t>MARION</t>
  </si>
  <si>
    <t>MC COOK CENTRAL</t>
  </si>
  <si>
    <t>MC INTOSH</t>
  </si>
  <si>
    <t>MC LAUGHLIN</t>
  </si>
  <si>
    <t>MEADE</t>
  </si>
  <si>
    <t>MENNO</t>
  </si>
  <si>
    <t>MILBANK</t>
  </si>
  <si>
    <t>MILLER AREA</t>
  </si>
  <si>
    <t>MITCHELL</t>
  </si>
  <si>
    <t>MOBRIDGE - POLLOCK</t>
  </si>
  <si>
    <t>MONTROSE</t>
  </si>
  <si>
    <t>MOUNT VERNON</t>
  </si>
  <si>
    <t>NEW UNDERWOOD</t>
  </si>
  <si>
    <t>NEWELL</t>
  </si>
  <si>
    <t>NORTHWESTERN AREA</t>
  </si>
  <si>
    <t>OELRICHS</t>
  </si>
  <si>
    <t>OGLALA LAKOTA COUNTY</t>
  </si>
  <si>
    <t>OLDHAM - RAMONA</t>
  </si>
  <si>
    <t>PARKER</t>
  </si>
  <si>
    <t>PARKSTON</t>
  </si>
  <si>
    <t>PIERRE</t>
  </si>
  <si>
    <t>PLANKINTON</t>
  </si>
  <si>
    <t>PLATTE - GEDDES</t>
  </si>
  <si>
    <t>RAPID CITY</t>
  </si>
  <si>
    <t>REDFIELD</t>
  </si>
  <si>
    <t>ROSHOLT</t>
  </si>
  <si>
    <t>RUTLAND</t>
  </si>
  <si>
    <t>SANBORN CENTRAL</t>
  </si>
  <si>
    <t>SCOTLAND</t>
  </si>
  <si>
    <t>SELBY AREA</t>
  </si>
  <si>
    <t>SIOUX FALLS</t>
  </si>
  <si>
    <t>SIOUX VALLEY</t>
  </si>
  <si>
    <t>SISSETON PUBLIC</t>
  </si>
  <si>
    <t>SMEE</t>
  </si>
  <si>
    <t>SOUTH CENTRAL</t>
  </si>
  <si>
    <t>SPEARFISH</t>
  </si>
  <si>
    <t>STANLEY COUNTY</t>
  </si>
  <si>
    <t>SUMMIT</t>
  </si>
  <si>
    <t>TEA AREA</t>
  </si>
  <si>
    <t>TIMBER LAKE</t>
  </si>
  <si>
    <t>TODD COUNTY</t>
  </si>
  <si>
    <t>TRIPP - DELMONT</t>
  </si>
  <si>
    <t>TRI-VALLEY</t>
  </si>
  <si>
    <t>VERMILLION</t>
  </si>
  <si>
    <t>VIBORG - HURLEY</t>
  </si>
  <si>
    <t>WAGNER COMMUNITY</t>
  </si>
  <si>
    <t>WALL</t>
  </si>
  <si>
    <t>WARNER</t>
  </si>
  <si>
    <t>WATERTOWN</t>
  </si>
  <si>
    <t>WAUBAY</t>
  </si>
  <si>
    <t>WAVERLY</t>
  </si>
  <si>
    <t>WEBSTER AREA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</si>
  <si>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</si>
  <si>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</si>
  <si>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</si>
  <si>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</si>
  <si>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</si>
  <si>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</si>
  <si>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</si>
  <si>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WOLSEY - WESSINGTON</t>
  </si>
  <si>
    <t>WOONSOCKET</t>
  </si>
  <si>
    <t>YANKTON</t>
  </si>
  <si>
    <t>STATE TOTAL</t>
  </si>
  <si>
    <t xml:space="preserve"> </t>
  </si>
  <si>
    <t>Base Amount</t>
  </si>
  <si>
    <t>Dist#</t>
  </si>
  <si>
    <t>District Name</t>
  </si>
  <si>
    <t>2013 Apportioned Funds</t>
  </si>
  <si>
    <t>2014 Apportioned Funds</t>
  </si>
  <si>
    <t>2015 Apportioned Funds</t>
  </si>
  <si>
    <t>Greatest of 2013, 2014 or 2015</t>
  </si>
  <si>
    <t xml:space="preserve"> 80% of Base Amount
FY2019 State Aid</t>
  </si>
  <si>
    <t>2017 Apportioned Funds</t>
  </si>
  <si>
    <t>Amount Equalized 
 FY2019 State Aid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</si>
  <si>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</si>
  <si>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</si>
  <si>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</si>
  <si>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</si>
  <si>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</si>
  <si>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</si>
  <si>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</si>
  <si>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</si>
  <si>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</si>
  <si>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</si>
  <si>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</si>
  <si>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</si>
  <si>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</si>
  <si>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</si>
  <si>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</si>
  <si>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</si>
  <si>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</si>
  <si>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</si>
  <si>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</si>
  <si>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</si>
  <si>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</si>
  <si>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</si>
  <si>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</si>
  <si>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</si>
  <si>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</si>
  <si>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</si>
  <si>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</si>
  <si>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</si>
  <si>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</si>
  <si>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</si>
  <si>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</si>
  <si>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</si>
  <si>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</si>
  <si>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</si>
  <si>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</si>
  <si>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</si>
  <si>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</si>
  <si>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</si>
  <si>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</si>
  <si>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</si>
  <si>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</si>
  <si>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</si>
  <si>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</si>
  <si>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</si>
  <si>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</si>
  <si>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</si>
  <si>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</si>
  <si>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</si>
  <si>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</si>
  <si>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</si>
  <si>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</si>
  <si>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</si>
  <si>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</si>
  <si>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</si>
  <si>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</si>
  <si>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</si>
  <si>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</si>
  <si>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</si>
  <si>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</si>
  <si>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</si>
  <si>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</si>
  <si>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</si>
  <si>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</si>
  <si>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</si>
  <si>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</si>
  <si>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</si>
  <si>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</si>
  <si>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</si>
  <si>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</si>
  <si>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</si>
  <si>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</si>
  <si>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</si>
  <si>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</si>
  <si>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</si>
  <si>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</si>
  <si>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</si>
  <si>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</si>
  <si>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</si>
  <si>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</si>
  <si>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</si>
  <si>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</si>
  <si>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</si>
  <si>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</si>
  <si>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</si>
  <si>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</si>
  <si>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</si>
  <si>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</si>
  <si>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</si>
  <si>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</si>
  <si>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</si>
  <si>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</si>
  <si>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</si>
  <si>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</si>
  <si>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</si>
  <si>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</si>
  <si>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</si>
  <si>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</si>
  <si>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</si>
  <si>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</si>
  <si>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</si>
  <si>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</si>
  <si>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</si>
  <si>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</si>
  <si>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</si>
  <si>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</si>
  <si>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</si>
  <si>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</si>
  <si>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</si>
  <si>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</si>
  <si>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</si>
  <si>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</si>
  <si>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</si>
  <si>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</si>
  <si>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</si>
  <si>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</si>
  <si>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</si>
  <si>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</si>
  <si>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</si>
  <si>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</si>
  <si>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</si>
  <si>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</si>
  <si>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</si>
  <si>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</si>
  <si>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</si>
  <si>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</si>
  <si>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</si>
  <si>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</si>
  <si>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</si>
  <si>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</si>
  <si>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</si>
  <si>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</si>
  <si>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</si>
  <si>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</si>
  <si>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</si>
  <si>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</si>
  <si>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</si>
  <si>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</si>
  <si>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</si>
  <si>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</si>
  <si>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</si>
  <si>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</si>
  <si>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</si>
  <si>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</si>
  <si>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</si>
  <si>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</si>
  <si>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</si>
  <si>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</si>
  <si>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</si>
  <si>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</si>
  <si>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Statewide Amount</t>
  </si>
  <si>
    <t>Grant-Deuel 25-3</t>
  </si>
  <si>
    <t>Deuel - 20%</t>
  </si>
  <si>
    <t>Milbank - 69%</t>
  </si>
  <si>
    <t>Waverly - 11%</t>
  </si>
  <si>
    <t>FY2019 Other Revenue Equalization for FY2020 Budget</t>
  </si>
  <si>
    <t>State Aid Fall Enrollment Count (Fall 2019)</t>
  </si>
  <si>
    <t>Target Teacher Salary</t>
  </si>
  <si>
    <t>Projected FY2020</t>
  </si>
  <si>
    <t>Overhead Rate</t>
  </si>
  <si>
    <t>Overhead Amount</t>
  </si>
  <si>
    <t>Benefits Amount (29% of Target Teacher Salary)</t>
  </si>
  <si>
    <t>Total General State Aid Need</t>
  </si>
  <si>
    <t>Total Local Effort</t>
  </si>
  <si>
    <t>Total Local Effort-Other Revenue Equalization</t>
  </si>
  <si>
    <t>Total General State Aid</t>
  </si>
  <si>
    <t>Index Factor</t>
  </si>
  <si>
    <t>Other/Utility</t>
  </si>
  <si>
    <t>Total Valuation</t>
  </si>
  <si>
    <t>Total State Aid</t>
  </si>
  <si>
    <t>District used alternate need option.</t>
  </si>
  <si>
    <t>L-D Career &amp; Tech Ed.</t>
  </si>
  <si>
    <t>Wagner 11-4</t>
  </si>
  <si>
    <t>Viborg -Hurley 60-6</t>
  </si>
  <si>
    <t>Selby 62-5</t>
  </si>
  <si>
    <t>Rapid City 51-4</t>
  </si>
  <si>
    <t>Oglala Lakota County 65-1</t>
  </si>
  <si>
    <t>Faulkton Area 24-4</t>
  </si>
  <si>
    <t>Deubrook 05-6</t>
  </si>
  <si>
    <t>Chester 39-1</t>
  </si>
  <si>
    <t>Britton - Hecla 45-4</t>
  </si>
  <si>
    <t xml:space="preserve">FINAL 
FY2018 State Aid </t>
  </si>
  <si>
    <t>2nd Half
 State Aid</t>
  </si>
  <si>
    <t>2nd Half Penalties &amp; Adjustments (Gaming)</t>
  </si>
  <si>
    <t>2nd Half
Local Effort
(Pay 2018)</t>
  </si>
  <si>
    <t>1st Half
 State Aid</t>
  </si>
  <si>
    <t>1st Half Penalties &amp; Adjustments</t>
  </si>
  <si>
    <t xml:space="preserve">1st Half
Local Effort
(Pay 2017)  </t>
  </si>
  <si>
    <t>Other Revenue Local Effort</t>
  </si>
  <si>
    <t xml:space="preserve">TOTAL Need </t>
  </si>
  <si>
    <t>District No.</t>
  </si>
  <si>
    <t>Bridgewater -Emery 30-3</t>
  </si>
  <si>
    <t>State Aid Need</t>
  </si>
  <si>
    <t>Alternative Need</t>
  </si>
  <si>
    <t>Calculated Formula Need</t>
  </si>
  <si>
    <t>Adjustment to Need 
(ARSD 24:17:03:07)</t>
  </si>
  <si>
    <t>Overhead</t>
  </si>
  <si>
    <t>Teacher Compensation Need</t>
  </si>
  <si>
    <t>Target Teacher Compensation
Sal &amp; Ben</t>
  </si>
  <si>
    <t>Sum Need A &amp; B</t>
  </si>
  <si>
    <t>LEP ADJ
Need B</t>
  </si>
  <si>
    <t>Need A</t>
  </si>
  <si>
    <t>Target TR</t>
  </si>
  <si>
    <t>2018 LEP
 Eligible Students 
(25% of # of students)</t>
  </si>
  <si>
    <t xml:space="preserve"> 2018 State Aid Fall Enrollment</t>
  </si>
  <si>
    <t>District</t>
  </si>
  <si>
    <t>5A</t>
  </si>
  <si>
    <t>5f</t>
  </si>
  <si>
    <t>updated 6/26/2018</t>
  </si>
  <si>
    <t>5e</t>
  </si>
  <si>
    <t>5d</t>
  </si>
  <si>
    <t>5c</t>
  </si>
  <si>
    <t>5b</t>
  </si>
  <si>
    <t>5a</t>
  </si>
  <si>
    <t>2C</t>
  </si>
  <si>
    <t>2D</t>
  </si>
  <si>
    <t>updated 11.1.2018</t>
  </si>
  <si>
    <t>references in SDCL 13-13-10.1</t>
  </si>
  <si>
    <t>FY2019 General State Aid Need</t>
  </si>
  <si>
    <t xml:space="preserve">FY2019 
State Aid </t>
  </si>
  <si>
    <t>Gaming Revenue Adjustment</t>
  </si>
  <si>
    <t>2nd Half
Local Effort
(Pay 2019)</t>
  </si>
  <si>
    <t>Excess Cash Balance Penalty</t>
  </si>
  <si>
    <t>1st Half
Local Effort
(Pay 2018)</t>
  </si>
  <si>
    <t>FY2019 General State Aid</t>
  </si>
  <si>
    <t>using alternative local need calculation</t>
  </si>
  <si>
    <t>State Aid NEED</t>
  </si>
  <si>
    <t>Formula Need</t>
  </si>
  <si>
    <r>
      <t xml:space="preserve">Adjustment to Need 
</t>
    </r>
    <r>
      <rPr>
        <sz val="8"/>
        <rFont val="Gill Sans MT"/>
        <family val="2"/>
      </rPr>
      <t>(ARSD 24:17:03:07)</t>
    </r>
  </si>
  <si>
    <r>
      <t xml:space="preserve">2017 LEP
 Eligible Students 
</t>
    </r>
    <r>
      <rPr>
        <sz val="8"/>
        <rFont val="Gill Sans MT"/>
        <family val="2"/>
      </rPr>
      <t>(25% of # of students)</t>
    </r>
  </si>
  <si>
    <t>2017 State Aid Fall Enrollment</t>
  </si>
  <si>
    <t>AG</t>
  </si>
  <si>
    <t>Other</t>
  </si>
  <si>
    <t>Estimated Local Effort - Property Taxes 2nd Half Pay 2019</t>
  </si>
  <si>
    <t>Estimated Local Effort - Property Taxes 1st Half Pay 2020</t>
  </si>
  <si>
    <t>2019 Valuation Pay 2020</t>
  </si>
  <si>
    <t>Property Tax Projection</t>
  </si>
  <si>
    <t>STATEWIDE TOTAL</t>
  </si>
  <si>
    <t>Stickney 01-2</t>
  </si>
  <si>
    <t>Corsica 21-2</t>
  </si>
  <si>
    <t>Irene 63-2</t>
  </si>
  <si>
    <t>Mobridge 62-3</t>
  </si>
  <si>
    <t>Greater Scott 61-5</t>
  </si>
  <si>
    <t>Greater Hoyt 61-4</t>
  </si>
  <si>
    <t>Viborg 60-5</t>
  </si>
  <si>
    <t>Hurley 60-2</t>
  </si>
  <si>
    <t>Colome 59-1</t>
  </si>
  <si>
    <t>Conde 56-1</t>
  </si>
  <si>
    <t>Northwest 52-3</t>
  </si>
  <si>
    <t>Lemmon 52-2</t>
  </si>
  <si>
    <t>Carthage 48-2</t>
  </si>
  <si>
    <t>Wood 47-2</t>
  </si>
  <si>
    <t>Langford 45-2</t>
  </si>
  <si>
    <t>Bridgewater 43-6</t>
  </si>
  <si>
    <t>Kadoka 35-1</t>
  </si>
  <si>
    <t>Hyde 34-1</t>
  </si>
  <si>
    <t>Harrold 32-1</t>
  </si>
  <si>
    <t>Emery 30-2</t>
  </si>
  <si>
    <t>Miller Area 29-3</t>
  </si>
  <si>
    <t>Polo 29-2</t>
  </si>
  <si>
    <t>Midland 27-2</t>
  </si>
  <si>
    <t>Faulkton Area 24-3</t>
  </si>
  <si>
    <t>Isabel 20-2</t>
  </si>
  <si>
    <t>Webster 18-4</t>
  </si>
  <si>
    <t>Roslyn 18-2</t>
  </si>
  <si>
    <t>South Shore 14-3</t>
  </si>
  <si>
    <t>Wakonda 13-2</t>
  </si>
  <si>
    <t>Platte 11-3</t>
  </si>
  <si>
    <t>Geddes 11-2</t>
  </si>
  <si>
    <t>Pollock 10-2</t>
  </si>
  <si>
    <t>Miller  29-4</t>
  </si>
  <si>
    <t>Lead-Deadwood</t>
  </si>
  <si>
    <t xml:space="preserve"> 2017 State Aid Fall Enrollment</t>
  </si>
  <si>
    <t xml:space="preserve"> 2016 State Aid Fall Enrollment</t>
  </si>
  <si>
    <t>2015 State Aid Fall Enrollment</t>
  </si>
  <si>
    <t>2014 State Aid Fall Enrollment</t>
  </si>
  <si>
    <t>2013 State Aid Fall Enrollment</t>
  </si>
  <si>
    <t xml:space="preserve">2012 State Aid Fall Enrollment </t>
  </si>
  <si>
    <t>2011 State Aid Fall Enrollment</t>
  </si>
  <si>
    <t>2010 State Aid Fall Enrollment</t>
  </si>
  <si>
    <t>2009 State Aid Fall Enrollment</t>
  </si>
  <si>
    <t>2008 State Aid Fall Enrollment</t>
  </si>
  <si>
    <t>2007 State Aid Fall Enrollment</t>
  </si>
  <si>
    <t>2006 State Aid Fall Enrollment</t>
  </si>
  <si>
    <t>2005 State Aid Fall Enrollment</t>
  </si>
  <si>
    <t>District no.</t>
  </si>
  <si>
    <t>AS OF 12/14/2018</t>
  </si>
  <si>
    <t>HISTORY OF STATE AID FALL ENROLLMENTS</t>
  </si>
  <si>
    <t>Helper Column</t>
  </si>
  <si>
    <t>Total</t>
  </si>
  <si>
    <t>Estimated Local Effort - Property Taxes</t>
  </si>
  <si>
    <t>Total Target Teacher Compensation</t>
  </si>
  <si>
    <t>State Aid Fall Enrollment</t>
  </si>
  <si>
    <t>Total Certified Instructional Staff Need</t>
  </si>
  <si>
    <t>Total LEP Count</t>
  </si>
  <si>
    <t>Weighted LEP Student Count (25% of LEP Count)</t>
  </si>
  <si>
    <t>FY2020 Total Local Effort from Other Revenue</t>
  </si>
  <si>
    <t>2018 Apportioned Funds</t>
  </si>
  <si>
    <t>60% of Base Amount
FY2020 State Aid</t>
  </si>
  <si>
    <t>as of 11/7/2018</t>
  </si>
  <si>
    <t>FY2020 Other Revenue Equalization</t>
  </si>
  <si>
    <t>Actual         FY2019</t>
  </si>
  <si>
    <t>Actual        FY2018</t>
  </si>
  <si>
    <t>Target Student/Teacher Ratio</t>
  </si>
  <si>
    <t>N/A</t>
  </si>
  <si>
    <t>Not-Included in General State Aid Local Effort</t>
  </si>
  <si>
    <t>Total Formula Number of Certified Staff FTE</t>
  </si>
  <si>
    <t>TOTAL GENERAL STATE AID NEED</t>
  </si>
  <si>
    <t>Estimated 2019 Pay 2020 Valuation</t>
  </si>
  <si>
    <t>FY2020</t>
  </si>
  <si>
    <t>Utility Taxes</t>
  </si>
  <si>
    <t>Revenue in Lieu of Taxes</t>
  </si>
  <si>
    <t>County Apportionment</t>
  </si>
  <si>
    <t>Wind Farm Energy Tax</t>
  </si>
  <si>
    <t>Bank Franchise Tax</t>
  </si>
  <si>
    <t>1140</t>
  </si>
  <si>
    <t>2110</t>
  </si>
  <si>
    <t>2200</t>
  </si>
  <si>
    <t>3113</t>
  </si>
  <si>
    <t>3114</t>
  </si>
  <si>
    <t>Utility Taxes (1140)</t>
  </si>
  <si>
    <t>Revenue in Lieu of Taxes (1210)</t>
  </si>
  <si>
    <t>County Apportionment (2110)</t>
  </si>
  <si>
    <t>Revenue in Lieu of Taxes (2200)</t>
  </si>
  <si>
    <t>Wind Farm Energy Tax (3113)</t>
  </si>
  <si>
    <t>Bank Franchise Tax (3114)</t>
  </si>
  <si>
    <t>Revenue Projection</t>
  </si>
  <si>
    <t>2017-2018 Other Revenue</t>
  </si>
  <si>
    <t>FY18</t>
  </si>
  <si>
    <t>Grand Total Other Revenue</t>
  </si>
  <si>
    <t>2017 SAFE</t>
  </si>
  <si>
    <t>Other Revenue Per Student</t>
  </si>
  <si>
    <t>FY</t>
  </si>
  <si>
    <t>Fund</t>
  </si>
  <si>
    <t>State-Wide Totals</t>
  </si>
  <si>
    <t>% of Overall Other Revenue</t>
  </si>
  <si>
    <t># of Districts receiving Other Revenue category</t>
  </si>
  <si>
    <t>Alternative Formula Districts</t>
  </si>
  <si>
    <t>2016-2017 General Fund Revenues</t>
  </si>
  <si>
    <t>Revenue Account Code</t>
  </si>
  <si>
    <t>Dist Num</t>
  </si>
  <si>
    <t>Wind Farm Tax</t>
  </si>
  <si>
    <t>Bank Franchise Taxes</t>
  </si>
  <si>
    <t># of Overall Other Revenue</t>
  </si>
  <si>
    <t>Estimated Local Effort - Property Taxes 2nd Half of Pay 20XX</t>
  </si>
  <si>
    <t>Estimated Local Effort - Property Taxes 1st Half Pay 20XX</t>
  </si>
  <si>
    <t xml:space="preserve">Estimated Revenue </t>
  </si>
  <si>
    <t>Change in Revenue from Prior Year*</t>
  </si>
  <si>
    <t>*This is not all-inclusive of General Fund revenue sources.  Only the revenue sources related to the General State Aid Formula.</t>
  </si>
  <si>
    <t>Greater than 0</t>
  </si>
  <si>
    <t>Less than 0</t>
  </si>
  <si>
    <t>Assumed Pay 2020 Valuation Growth % (Manually Enter)</t>
  </si>
  <si>
    <t>BRTF</t>
  </si>
  <si>
    <t>PSA Formula</t>
  </si>
  <si>
    <t>Per Student Allocation</t>
  </si>
  <si>
    <t>$ Change</t>
  </si>
  <si>
    <t>% Change</t>
  </si>
  <si>
    <t>Estimated FY2020</t>
  </si>
  <si>
    <t>Estimated FY2019</t>
  </si>
  <si>
    <t>Small School Adjustment</t>
  </si>
  <si>
    <t>Local Effort-Property Taxes</t>
  </si>
  <si>
    <t>2016 State Aid Fall Enrollment</t>
  </si>
  <si>
    <t>2016 LEP Eligible Students
(25% of # of students)</t>
  </si>
  <si>
    <t>Teacher Comp Need</t>
  </si>
  <si>
    <t>Adjustment to Need as per ARSD 24:17:03:07</t>
  </si>
  <si>
    <t xml:space="preserve">1st Half
Local Effort
(Pay 2016)  </t>
  </si>
  <si>
    <t>1st Half Pay 2016 Pension Levy</t>
  </si>
  <si>
    <t>Additional Aid as per 13-13-87</t>
  </si>
  <si>
    <r>
      <t xml:space="preserve">
1st Half State Aid
</t>
    </r>
    <r>
      <rPr>
        <sz val="9"/>
        <color theme="0"/>
        <rFont val="Gill Sans MT"/>
        <family val="2"/>
      </rPr>
      <t>1/2 of Need minus 1st half local effort</t>
    </r>
  </si>
  <si>
    <r>
      <rPr>
        <b/>
        <sz val="9"/>
        <color theme="0"/>
        <rFont val="Gill Sans MT"/>
        <family val="2"/>
      </rPr>
      <t>2nd Half</t>
    </r>
    <r>
      <rPr>
        <sz val="9"/>
        <color theme="0"/>
        <rFont val="Gill Sans MT"/>
        <family val="2"/>
      </rPr>
      <t xml:space="preserve">
Local Effort
(Pay 2017)</t>
    </r>
  </si>
  <si>
    <r>
      <t xml:space="preserve">
2nd Half State Aid
</t>
    </r>
    <r>
      <rPr>
        <sz val="9"/>
        <color theme="0"/>
        <rFont val="Gill Sans MT"/>
        <family val="2"/>
      </rPr>
      <t>1/2 of Need minus 2nd half local effort</t>
    </r>
  </si>
  <si>
    <t xml:space="preserve"> FY2017 
State Aid </t>
  </si>
  <si>
    <t>LEP Count</t>
  </si>
  <si>
    <t>Total State Aid Need</t>
  </si>
  <si>
    <t>Actual Other Revenue Receipts</t>
  </si>
  <si>
    <t>FY2018</t>
  </si>
  <si>
    <t>FY2017</t>
  </si>
  <si>
    <t>Local Effort-Other Revenue</t>
  </si>
  <si>
    <t>Estimated         FY2019</t>
  </si>
  <si>
    <t>Estimated Revenue from Property Taxes, State Aid, and Other Revenues</t>
  </si>
  <si>
    <t>% above or below state-wide average per student</t>
  </si>
  <si>
    <t>25% of PSA</t>
  </si>
  <si>
    <t>General State Aid (3111)</t>
  </si>
  <si>
    <t>Estimated Local Effort - Property Taxes 2nd Half Pay 2019 (1110)</t>
  </si>
  <si>
    <t>Estimated Local Effort - Property Taxes 1st Half Pay 2020 (1110)</t>
  </si>
  <si>
    <t>Manually enter projected FY2019 revenue in Yellow Cell (Column C)</t>
  </si>
  <si>
    <t>*DO NOT ENTER VALUES INTO THIS SHEET. It automatically updates*</t>
  </si>
  <si>
    <t>Owner-Occupied</t>
  </si>
  <si>
    <t>State Aid Total Need for Formula FTE</t>
  </si>
  <si>
    <r>
      <t xml:space="preserve">Number of </t>
    </r>
    <r>
      <rPr>
        <b/>
        <u/>
        <sz val="11"/>
        <color theme="1"/>
        <rFont val="Ebrima"/>
      </rPr>
      <t>Eligible</t>
    </r>
    <r>
      <rPr>
        <sz val="11"/>
        <color theme="1"/>
        <rFont val="Ebrima"/>
      </rPr>
      <t xml:space="preserve"> LEP Students</t>
    </r>
  </si>
  <si>
    <t>as of 2/26/19</t>
  </si>
  <si>
    <t>General Fund Revenue Comparison</t>
  </si>
  <si>
    <t xml:space="preserve">Estimated General State Aid Budget Calculator </t>
  </si>
  <si>
    <t>FY 2020</t>
  </si>
  <si>
    <t>Manually enter full amount of projected FY2020 Revenue in Yellow Cell</t>
  </si>
  <si>
    <t>*Double check valuations with County Auditor(s)</t>
  </si>
  <si>
    <t>2018 Pay 2019 Valuation (as of 2/26/19)*</t>
  </si>
  <si>
    <t>2019 Pay 2020 Levies**</t>
  </si>
  <si>
    <t>**Levies do not include additional opt-out levy, if applicable</t>
  </si>
  <si>
    <r>
      <t xml:space="preserve">X % of Overhead Costs </t>
    </r>
    <r>
      <rPr>
        <b/>
        <u/>
        <sz val="11"/>
        <color theme="1"/>
        <rFont val="Ebrima"/>
      </rPr>
      <t>(Updated for FY2020)</t>
    </r>
  </si>
  <si>
    <t xml:space="preserve">Local Effort - Other Revenue Equalization </t>
  </si>
  <si>
    <t>*Total General State Aid Need table below automatically calculations DO NOT CHANGE</t>
  </si>
  <si>
    <t>as of 3/20/2019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</si>
</sst>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General_)"/>
    <numFmt numFmtId="168" formatCode="&quot;$&quot;#,##0"/>
    <numFmt numFmtId="169" formatCode="&quot;$&quot;#,##0.00"/>
    <numFmt numFmtId="170" formatCode="_(&quot;$&quot;* #,##0.000_);_(&quot;$&quot;* \(#,##0.000\);_(&quot;$&quot;* &quot;-&quot;??_);_(@_)"/>
    <numFmt numFmtId="171" formatCode="&quot;$&quot;#,##0;\(&quot;$&quot;#,##0\)"/>
    <numFmt numFmtId="172" formatCode="&quot;$&quot;#,##0.00;\(&quot;$&quot;#,##0.00\)"/>
    <numFmt numFmtId="173" formatCode="#,##0.000"/>
    <numFmt numFmtId="174" formatCode="&quot;$&quot;#,##0.000_);\(&quot;$&quot;#,##0.000\)"/>
    <numFmt numFmtId="175" formatCode="0.0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Ebrima"/>
    </font>
    <font>
      <b/>
      <sz val="10"/>
      <color theme="1"/>
      <name val="Ebrima"/>
    </font>
    <font>
      <b/>
      <sz val="14"/>
      <color theme="1"/>
      <name val="Ebrima"/>
    </font>
    <font>
      <sz val="14"/>
      <color theme="1"/>
      <name val="Ebrima"/>
    </font>
    <font>
      <sz val="10"/>
      <name val="Courier"/>
      <family val="3"/>
    </font>
    <font>
      <sz val="10"/>
      <name val="Arial"/>
      <family val="2"/>
    </font>
    <font>
      <b/>
      <sz val="16"/>
      <color rgb="FFC00000"/>
      <name val="Ebrima"/>
    </font>
    <font>
      <b/>
      <sz val="11"/>
      <color theme="1"/>
      <name val="Ebrima"/>
    </font>
    <font>
      <sz val="11"/>
      <color theme="1"/>
      <name val="Ebrima"/>
    </font>
    <font>
      <b/>
      <sz val="16"/>
      <color theme="1"/>
      <name val="Candara"/>
      <family val="2"/>
    </font>
    <font>
      <sz val="16"/>
      <color theme="1"/>
      <name val="Candara"/>
      <family val="2"/>
    </font>
    <font>
      <sz val="12"/>
      <color theme="1"/>
      <name val="Ebrima"/>
    </font>
    <font>
      <sz val="12"/>
      <color theme="0"/>
      <name val="Ebrima"/>
    </font>
    <font>
      <b/>
      <sz val="9"/>
      <color indexed="81"/>
      <name val="Tahoma"/>
      <family val="2"/>
    </font>
    <font>
      <sz val="16"/>
      <color theme="0"/>
      <name val="Candara"/>
      <family val="2"/>
    </font>
    <font>
      <sz val="9"/>
      <color theme="1"/>
      <name val="Ebrima"/>
    </font>
    <font>
      <sz val="10"/>
      <color theme="0"/>
      <name val="Ebrima"/>
    </font>
    <font>
      <b/>
      <sz val="12"/>
      <name val="Gill Sans MT"/>
      <family val="2"/>
    </font>
    <font>
      <sz val="10"/>
      <color theme="1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sz val="10"/>
      <color theme="0"/>
      <name val="Gill Sans MT"/>
      <family val="2"/>
    </font>
    <font>
      <sz val="10"/>
      <color indexed="8"/>
      <name val="Arial"/>
      <family val="2"/>
    </font>
    <font>
      <sz val="10"/>
      <color indexed="8"/>
      <name val="Gill Sans MT"/>
      <family val="2"/>
    </font>
    <font>
      <b/>
      <sz val="10"/>
      <color theme="1"/>
      <name val="Arial"/>
      <family val="2"/>
    </font>
    <font>
      <sz val="11"/>
      <color theme="1"/>
      <name val="Gill Sans MT"/>
      <family val="2"/>
    </font>
    <font>
      <b/>
      <sz val="14"/>
      <name val="Candara"/>
      <family val="2"/>
    </font>
    <font>
      <b/>
      <sz val="28"/>
      <color rgb="FFFF0000"/>
      <name val="Candara"/>
      <family val="2"/>
    </font>
    <font>
      <b/>
      <sz val="11"/>
      <color theme="1"/>
      <name val="Calibri"/>
      <family val="2"/>
      <scheme val="minor"/>
    </font>
    <font>
      <sz val="9"/>
      <color rgb="FF002060"/>
      <name val="Gill Sans MT"/>
      <family val="2"/>
    </font>
    <font>
      <sz val="9"/>
      <name val="Gill Sans MT"/>
      <family val="2"/>
    </font>
    <font>
      <sz val="10"/>
      <color rgb="FF002060"/>
      <name val="Gill Sans MT"/>
      <family val="2"/>
    </font>
    <font>
      <b/>
      <sz val="9"/>
      <color theme="8" tint="-0.499984740745262"/>
      <name val="Gill Sans MT"/>
      <family val="2"/>
    </font>
    <font>
      <sz val="9"/>
      <color theme="8" tint="-0.499984740745262"/>
      <name val="Gill Sans MT"/>
      <family val="2"/>
    </font>
    <font>
      <sz val="9"/>
      <color indexed="81"/>
      <name val="Tahoma"/>
      <family val="2"/>
    </font>
    <font>
      <sz val="10"/>
      <color rgb="FF002060"/>
      <name val="Ebrima"/>
    </font>
    <font>
      <sz val="9"/>
      <color rgb="FF002060"/>
      <name val="Ebrima"/>
    </font>
    <font>
      <b/>
      <sz val="14"/>
      <color rgb="FF002060"/>
      <name val="Ebrima"/>
    </font>
    <font>
      <sz val="10"/>
      <color rgb="FFFF0000"/>
      <name val="Ebrima"/>
    </font>
    <font>
      <sz val="8"/>
      <color rgb="FF002060"/>
      <name val="Ebrima"/>
    </font>
    <font>
      <sz val="9"/>
      <color theme="0"/>
      <name val="Gill Sans MT"/>
      <family val="2"/>
    </font>
    <font>
      <b/>
      <sz val="9"/>
      <name val="Gill Sans MT"/>
      <family val="2"/>
    </font>
    <font>
      <sz val="8"/>
      <name val="Gill Sans MT"/>
      <family val="2"/>
    </font>
    <font>
      <sz val="11"/>
      <name val="Ebrima"/>
    </font>
    <font>
      <sz val="11"/>
      <color theme="3" tint="-0.499984740745262"/>
      <name val="Ebrima"/>
    </font>
    <font>
      <sz val="11"/>
      <color indexed="8"/>
      <name val="Ebrima"/>
    </font>
    <font>
      <sz val="11"/>
      <color theme="7" tint="-0.499984740745262"/>
      <name val="Ebrima"/>
    </font>
    <font>
      <sz val="9"/>
      <name val="Ebrima"/>
    </font>
    <font>
      <b/>
      <sz val="16"/>
      <name val="Ebrim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Ebrima"/>
    </font>
    <font>
      <sz val="10"/>
      <color indexed="8"/>
      <name val="Ebrima"/>
    </font>
    <font>
      <sz val="10"/>
      <name val="Ebrima"/>
    </font>
    <font>
      <b/>
      <sz val="12"/>
      <name val="Ebrima"/>
    </font>
    <font>
      <b/>
      <sz val="14"/>
      <name val="Ebrima"/>
    </font>
    <font>
      <b/>
      <u/>
      <sz val="12"/>
      <color theme="1"/>
      <name val="Ebrima"/>
    </font>
    <font>
      <sz val="11"/>
      <color theme="1"/>
      <name val="Calibri"/>
      <family val="2"/>
    </font>
    <font>
      <b/>
      <i/>
      <sz val="10"/>
      <color theme="1"/>
      <name val="Ebrima"/>
    </font>
    <font>
      <sz val="11"/>
      <color indexed="8"/>
      <name val="Calibri"/>
      <family val="2"/>
    </font>
    <font>
      <b/>
      <sz val="10"/>
      <name val="Ebrima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9"/>
      <color theme="0"/>
      <name val="Gill Sans MT"/>
      <family val="2"/>
    </font>
    <font>
      <sz val="9"/>
      <color rgb="FFFF0000"/>
      <name val="Gill Sans MT"/>
      <family val="2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22"/>
      <color theme="1"/>
      <name val="Calibri"/>
      <family val="2"/>
      <scheme val="minor"/>
    </font>
    <font>
      <b/>
      <i/>
      <u/>
      <sz val="18"/>
      <color rgb="FFFF0000"/>
      <name val="Calibri"/>
      <family val="2"/>
      <scheme val="minor"/>
    </font>
    <font>
      <b/>
      <u/>
      <sz val="11"/>
      <color theme="1"/>
      <name val="Ebrima"/>
    </font>
    <font>
      <sz val="16"/>
      <color theme="1"/>
      <name val="Calibri"/>
      <family val="2"/>
      <scheme val="minor"/>
    </font>
    <font>
      <b/>
      <u/>
      <sz val="10"/>
      <color theme="1"/>
      <name val="Ebrima"/>
    </font>
    <font>
      <b/>
      <sz val="20"/>
      <color theme="0"/>
      <name val="Candara"/>
      <family val="2"/>
    </font>
    <font>
      <b/>
      <sz val="12"/>
      <color theme="0"/>
      <name val="Ebrima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6B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71DAFF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auto="1"/>
      </left>
      <right/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auto="1"/>
      </top>
      <bottom style="medium">
        <color theme="9" tint="-0.24994659260841701"/>
      </bottom>
      <diagonal/>
    </border>
    <border>
      <left/>
      <right/>
      <top style="medium">
        <color auto="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auto="1"/>
      </top>
      <bottom style="medium">
        <color theme="9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auto="1"/>
      </bottom>
      <diagonal/>
    </border>
    <border>
      <left/>
      <right/>
      <top style="thick">
        <color theme="9" tint="-0.24994659260841701"/>
      </top>
      <bottom style="thin">
        <color auto="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auto="1"/>
      </bottom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 style="thin">
        <color auto="1"/>
      </top>
      <bottom style="thick">
        <color theme="9" tint="-0.24994659260841701"/>
      </bottom>
      <diagonal/>
    </border>
    <border>
      <left/>
      <right/>
      <top style="thin">
        <color auto="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auto="1"/>
      </top>
      <bottom style="thick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3" tint="-0.499984740745262"/>
      </right>
      <top/>
      <bottom/>
      <diagonal/>
    </border>
    <border>
      <left/>
      <right style="thick">
        <color theme="3" tint="-0.499984740745262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3" tint="-0.499984740745262"/>
      </right>
      <top style="thick">
        <color theme="9" tint="-0.24994659260841701"/>
      </top>
      <bottom/>
      <diagonal/>
    </border>
    <border>
      <left style="thick">
        <color theme="3" tint="-0.499984740745262"/>
      </left>
      <right/>
      <top/>
      <bottom/>
      <diagonal/>
    </border>
    <border>
      <left style="thick">
        <color theme="3" tint="-0.499984740745262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3" tint="-0.499984740745262"/>
      </left>
      <right/>
      <top style="thick">
        <color theme="9" tint="-0.24994659260841701"/>
      </top>
      <bottom/>
      <diagonal/>
    </border>
    <border>
      <left style="thick">
        <color theme="3" tint="-0.499984740745262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theme="3" tint="-0.499984740745262"/>
      </right>
      <top style="thick">
        <color rgb="FF00B050"/>
      </top>
      <bottom style="thick">
        <color rgb="FF00B05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6" fillId="0" borderId="0"/>
    <xf numFmtId="43" fontId="7" fillId="0" borderId="0" applyFont="0" applyFill="0" applyBorder="0" applyAlignment="0" applyProtection="0"/>
    <xf numFmtId="0" fontId="24" fillId="0" borderId="0"/>
    <xf numFmtId="0" fontId="27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24" fillId="0" borderId="0"/>
  </cellStyleXfs>
  <cellXfs count="532">
    <xf numFmtId="0" fontId="0" fillId="0" borderId="0" xfId="0"/>
    <xf numFmtId="0" fontId="2" fillId="0" borderId="0" xfId="0" applyFont="1" applyBorder="1"/>
    <xf numFmtId="0" fontId="10" fillId="0" borderId="0" xfId="0" applyFont="1"/>
    <xf numFmtId="0" fontId="2" fillId="0" borderId="0" xfId="0" applyFont="1"/>
    <xf numFmtId="0" fontId="5" fillId="0" borderId="0" xfId="0" applyFont="1"/>
    <xf numFmtId="164" fontId="2" fillId="0" borderId="0" xfId="1" applyNumberFormat="1" applyFont="1"/>
    <xf numFmtId="0" fontId="17" fillId="0" borderId="0" xfId="0" applyFont="1"/>
    <xf numFmtId="0" fontId="2" fillId="0" borderId="0" xfId="0" applyFont="1" applyFill="1"/>
    <xf numFmtId="164" fontId="2" fillId="0" borderId="0" xfId="1" applyNumberFormat="1" applyFont="1" applyFill="1"/>
    <xf numFmtId="0" fontId="0" fillId="0" borderId="0" xfId="0"/>
    <xf numFmtId="0" fontId="19" fillId="0" borderId="16" xfId="0" applyFont="1" applyBorder="1" applyAlignment="1">
      <alignment horizontal="left"/>
    </xf>
    <xf numFmtId="168" fontId="20" fillId="0" borderId="0" xfId="0" applyNumberFormat="1" applyFont="1"/>
    <xf numFmtId="9" fontId="20" fillId="0" borderId="0" xfId="3" applyFont="1" applyAlignment="1">
      <alignment horizontal="center"/>
    </xf>
    <xf numFmtId="0" fontId="21" fillId="0" borderId="14" xfId="0" applyFont="1" applyFill="1" applyBorder="1" applyAlignment="1">
      <alignment wrapText="1"/>
    </xf>
    <xf numFmtId="168" fontId="22" fillId="0" borderId="0" xfId="0" applyNumberFormat="1" applyFont="1" applyAlignment="1">
      <alignment horizontal="center"/>
    </xf>
    <xf numFmtId="168" fontId="23" fillId="0" borderId="0" xfId="0" applyNumberFormat="1" applyFont="1" applyFill="1" applyAlignment="1">
      <alignment horizontal="center"/>
    </xf>
    <xf numFmtId="0" fontId="25" fillId="8" borderId="17" xfId="6" applyFont="1" applyFill="1" applyBorder="1" applyAlignment="1">
      <alignment horizontal="center" wrapText="1"/>
    </xf>
    <xf numFmtId="168" fontId="25" fillId="8" borderId="17" xfId="6" applyNumberFormat="1" applyFont="1" applyFill="1" applyBorder="1" applyAlignment="1">
      <alignment horizontal="center" wrapText="1"/>
    </xf>
    <xf numFmtId="168" fontId="23" fillId="9" borderId="17" xfId="6" applyNumberFormat="1" applyFont="1" applyFill="1" applyBorder="1" applyAlignment="1">
      <alignment horizontal="center" wrapText="1"/>
    </xf>
    <xf numFmtId="0" fontId="25" fillId="0" borderId="17" xfId="6" applyFont="1" applyFill="1" applyBorder="1" applyAlignment="1">
      <alignment horizontal="right"/>
    </xf>
    <xf numFmtId="0" fontId="25" fillId="0" borderId="17" xfId="6" applyFont="1" applyFill="1" applyBorder="1" applyAlignment="1"/>
    <xf numFmtId="168" fontId="20" fillId="0" borderId="17" xfId="0" applyNumberFormat="1" applyFont="1" applyFill="1" applyBorder="1"/>
    <xf numFmtId="168" fontId="20" fillId="10" borderId="17" xfId="0" applyNumberFormat="1" applyFont="1" applyFill="1" applyBorder="1"/>
    <xf numFmtId="168" fontId="20" fillId="3" borderId="17" xfId="0" applyNumberFormat="1" applyFont="1" applyFill="1" applyBorder="1"/>
    <xf numFmtId="0" fontId="20" fillId="0" borderId="17" xfId="0" applyFont="1" applyBorder="1"/>
    <xf numFmtId="0" fontId="20" fillId="0" borderId="17" xfId="0" applyFont="1" applyBorder="1" applyAlignment="1">
      <alignment horizontal="right"/>
    </xf>
    <xf numFmtId="168" fontId="20" fillId="0" borderId="17" xfId="0" applyNumberFormat="1" applyFont="1" applyBorder="1"/>
    <xf numFmtId="0" fontId="20" fillId="0" borderId="0" xfId="0" applyFont="1"/>
    <xf numFmtId="0" fontId="26" fillId="0" borderId="0" xfId="0" applyNumberFormat="1" applyFont="1" applyBorder="1"/>
    <xf numFmtId="0" fontId="28" fillId="0" borderId="15" xfId="0" applyFont="1" applyBorder="1" applyAlignment="1">
      <alignment horizontal="left"/>
    </xf>
    <xf numFmtId="168" fontId="18" fillId="11" borderId="17" xfId="6" applyNumberFormat="1" applyFont="1" applyFill="1" applyBorder="1" applyAlignment="1">
      <alignment horizontal="center" wrapText="1"/>
    </xf>
    <xf numFmtId="168" fontId="23" fillId="11" borderId="17" xfId="6" applyNumberFormat="1" applyFont="1" applyFill="1" applyBorder="1" applyAlignment="1">
      <alignment horizontal="center" wrapText="1"/>
    </xf>
    <xf numFmtId="168" fontId="20" fillId="12" borderId="17" xfId="0" applyNumberFormat="1" applyFont="1" applyFill="1" applyBorder="1"/>
    <xf numFmtId="168" fontId="23" fillId="13" borderId="17" xfId="6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164" fontId="2" fillId="0" borderId="14" xfId="1" applyNumberFormat="1" applyFont="1" applyFill="1" applyBorder="1" applyAlignment="1">
      <alignment horizontal="center" wrapText="1"/>
    </xf>
    <xf numFmtId="0" fontId="0" fillId="0" borderId="0" xfId="0" applyFont="1" applyFill="1"/>
    <xf numFmtId="164" fontId="2" fillId="15" borderId="14" xfId="1" applyNumberFormat="1" applyFont="1" applyFill="1" applyBorder="1" applyAlignment="1">
      <alignment horizontal="center" wrapText="1"/>
    </xf>
    <xf numFmtId="164" fontId="2" fillId="19" borderId="14" xfId="1" applyNumberFormat="1" applyFont="1" applyFill="1" applyBorder="1" applyAlignment="1">
      <alignment horizontal="center" wrapText="1"/>
    </xf>
    <xf numFmtId="164" fontId="2" fillId="14" borderId="14" xfId="1" applyNumberFormat="1" applyFont="1" applyFill="1" applyBorder="1" applyAlignment="1">
      <alignment horizontal="center" wrapText="1"/>
    </xf>
    <xf numFmtId="164" fontId="0" fillId="0" borderId="0" xfId="0" applyNumberFormat="1"/>
    <xf numFmtId="0" fontId="30" fillId="0" borderId="0" xfId="0" applyFont="1"/>
    <xf numFmtId="164" fontId="3" fillId="0" borderId="14" xfId="1" applyNumberFormat="1" applyFont="1" applyFill="1" applyBorder="1" applyAlignment="1">
      <alignment horizontal="center" wrapText="1"/>
    </xf>
    <xf numFmtId="164" fontId="30" fillId="0" borderId="0" xfId="0" applyNumberFormat="1" applyFont="1"/>
    <xf numFmtId="0" fontId="2" fillId="0" borderId="19" xfId="0" applyFont="1" applyBorder="1"/>
    <xf numFmtId="164" fontId="2" fillId="0" borderId="19" xfId="1" applyNumberFormat="1" applyFont="1" applyBorder="1"/>
    <xf numFmtId="0" fontId="31" fillId="0" borderId="0" xfId="8" applyFont="1" applyFill="1" applyBorder="1"/>
    <xf numFmtId="0" fontId="32" fillId="0" borderId="0" xfId="8" applyFont="1" applyFill="1" applyBorder="1"/>
    <xf numFmtId="5" fontId="31" fillId="0" borderId="0" xfId="8" applyNumberFormat="1" applyFont="1" applyFill="1" applyBorder="1"/>
    <xf numFmtId="168" fontId="31" fillId="0" borderId="0" xfId="8" applyNumberFormat="1" applyFont="1" applyFill="1" applyBorder="1"/>
    <xf numFmtId="0" fontId="31" fillId="0" borderId="0" xfId="8" applyFont="1" applyFill="1" applyBorder="1" applyAlignment="1">
      <alignment horizontal="left"/>
    </xf>
    <xf numFmtId="5" fontId="33" fillId="0" borderId="0" xfId="8" applyNumberFormat="1" applyFont="1" applyFill="1" applyBorder="1"/>
    <xf numFmtId="5" fontId="31" fillId="3" borderId="0" xfId="8" applyNumberFormat="1" applyFont="1" applyFill="1" applyBorder="1"/>
    <xf numFmtId="0" fontId="31" fillId="3" borderId="0" xfId="8" applyFont="1" applyFill="1" applyBorder="1" applyAlignment="1">
      <alignment horizontal="left"/>
    </xf>
    <xf numFmtId="0" fontId="31" fillId="0" borderId="0" xfId="8" applyFont="1" applyFill="1" applyBorder="1" applyAlignment="1">
      <alignment wrapText="1"/>
    </xf>
    <xf numFmtId="0" fontId="32" fillId="0" borderId="0" xfId="8" applyFont="1" applyFill="1" applyBorder="1" applyAlignment="1">
      <alignment wrapText="1"/>
    </xf>
    <xf numFmtId="5" fontId="31" fillId="0" borderId="0" xfId="8" applyNumberFormat="1" applyFont="1" applyFill="1" applyBorder="1" applyAlignment="1">
      <alignment wrapText="1"/>
    </xf>
    <xf numFmtId="3" fontId="31" fillId="0" borderId="0" xfId="8" applyNumberFormat="1" applyFont="1" applyFill="1" applyBorder="1" applyAlignment="1">
      <alignment horizontal="left" wrapText="1"/>
    </xf>
    <xf numFmtId="0" fontId="31" fillId="0" borderId="0" xfId="8" applyFont="1" applyFill="1" applyBorder="1" applyAlignment="1">
      <alignment vertical="center" wrapText="1"/>
    </xf>
    <xf numFmtId="5" fontId="31" fillId="15" borderId="20" xfId="8" applyNumberFormat="1" applyFont="1" applyFill="1" applyBorder="1" applyAlignment="1">
      <alignment vertical="center" wrapText="1"/>
    </xf>
    <xf numFmtId="5" fontId="32" fillId="15" borderId="20" xfId="8" applyNumberFormat="1" applyFont="1" applyFill="1" applyBorder="1" applyAlignment="1">
      <alignment vertical="center" wrapText="1"/>
    </xf>
    <xf numFmtId="6" fontId="31" fillId="15" borderId="20" xfId="8" applyNumberFormat="1" applyFont="1" applyFill="1" applyBorder="1" applyAlignment="1">
      <alignment vertical="center" wrapText="1"/>
    </xf>
    <xf numFmtId="3" fontId="31" fillId="15" borderId="20" xfId="8" applyNumberFormat="1" applyFont="1" applyFill="1" applyBorder="1" applyAlignment="1">
      <alignment horizontal="left" vertical="center" wrapText="1"/>
    </xf>
    <xf numFmtId="3" fontId="31" fillId="15" borderId="21" xfId="8" applyNumberFormat="1" applyFont="1" applyFill="1" applyBorder="1" applyAlignment="1">
      <alignment horizontal="left" vertical="center" wrapText="1"/>
    </xf>
    <xf numFmtId="6" fontId="31" fillId="0" borderId="0" xfId="8" applyNumberFormat="1" applyFont="1" applyFill="1" applyBorder="1"/>
    <xf numFmtId="5" fontId="31" fillId="0" borderId="17" xfId="8" applyNumberFormat="1" applyFont="1" applyFill="1" applyBorder="1"/>
    <xf numFmtId="6" fontId="31" fillId="0" borderId="17" xfId="8" applyNumberFormat="1" applyFont="1" applyFill="1" applyBorder="1"/>
    <xf numFmtId="168" fontId="31" fillId="0" borderId="17" xfId="8" applyNumberFormat="1" applyFont="1" applyFill="1" applyBorder="1"/>
    <xf numFmtId="3" fontId="31" fillId="0" borderId="17" xfId="8" applyNumberFormat="1" applyFont="1" applyFill="1" applyBorder="1" applyAlignment="1">
      <alignment horizontal="left"/>
    </xf>
    <xf numFmtId="5" fontId="31" fillId="0" borderId="17" xfId="8" applyNumberFormat="1" applyFont="1" applyFill="1" applyBorder="1" applyAlignment="1">
      <alignment horizontal="right"/>
    </xf>
    <xf numFmtId="0" fontId="31" fillId="0" borderId="17" xfId="8" applyFont="1" applyFill="1" applyBorder="1" applyAlignment="1">
      <alignment horizontal="left"/>
    </xf>
    <xf numFmtId="0" fontId="31" fillId="0" borderId="17" xfId="8" applyNumberFormat="1" applyFont="1" applyFill="1" applyBorder="1" applyAlignment="1">
      <alignment horizontal="left"/>
    </xf>
    <xf numFmtId="5" fontId="31" fillId="3" borderId="17" xfId="8" applyNumberFormat="1" applyFont="1" applyFill="1" applyBorder="1"/>
    <xf numFmtId="5" fontId="31" fillId="3" borderId="17" xfId="8" applyNumberFormat="1" applyFont="1" applyFill="1" applyBorder="1" applyAlignment="1">
      <alignment horizontal="right"/>
    </xf>
    <xf numFmtId="6" fontId="31" fillId="3" borderId="17" xfId="8" applyNumberFormat="1" applyFont="1" applyFill="1" applyBorder="1"/>
    <xf numFmtId="168" fontId="31" fillId="3" borderId="17" xfId="8" applyNumberFormat="1" applyFont="1" applyFill="1" applyBorder="1"/>
    <xf numFmtId="0" fontId="31" fillId="3" borderId="17" xfId="8" applyFont="1" applyFill="1" applyBorder="1" applyAlignment="1">
      <alignment horizontal="left"/>
    </xf>
    <xf numFmtId="5" fontId="32" fillId="0" borderId="17" xfId="8" applyNumberFormat="1" applyFont="1" applyFill="1" applyBorder="1"/>
    <xf numFmtId="0" fontId="31" fillId="0" borderId="0" xfId="8" applyFont="1" applyFill="1" applyBorder="1" applyAlignment="1"/>
    <xf numFmtId="5" fontId="34" fillId="20" borderId="11" xfId="8" applyNumberFormat="1" applyFont="1" applyFill="1" applyBorder="1" applyAlignment="1">
      <alignment horizontal="center" wrapText="1"/>
    </xf>
    <xf numFmtId="5" fontId="35" fillId="20" borderId="11" xfId="8" applyNumberFormat="1" applyFont="1" applyFill="1" applyBorder="1" applyAlignment="1">
      <alignment horizontal="center" wrapText="1"/>
    </xf>
    <xf numFmtId="0" fontId="35" fillId="20" borderId="11" xfId="8" applyFont="1" applyFill="1" applyBorder="1" applyAlignment="1">
      <alignment horizontal="center" wrapText="1"/>
    </xf>
    <xf numFmtId="0" fontId="35" fillId="20" borderId="11" xfId="8" applyFont="1" applyFill="1" applyBorder="1" applyAlignment="1">
      <alignment horizontal="left" wrapText="1"/>
    </xf>
    <xf numFmtId="0" fontId="37" fillId="0" borderId="0" xfId="9" applyFont="1" applyFill="1" applyBorder="1"/>
    <xf numFmtId="168" fontId="37" fillId="0" borderId="0" xfId="9" applyNumberFormat="1" applyFont="1" applyFill="1" applyBorder="1"/>
    <xf numFmtId="5" fontId="37" fillId="0" borderId="0" xfId="9" applyNumberFormat="1" applyFont="1" applyFill="1" applyBorder="1"/>
    <xf numFmtId="0" fontId="37" fillId="0" borderId="0" xfId="9" applyFont="1" applyFill="1" applyBorder="1" applyAlignment="1">
      <alignment horizontal="left"/>
    </xf>
    <xf numFmtId="4" fontId="37" fillId="0" borderId="0" xfId="9" applyNumberFormat="1" applyFont="1" applyFill="1" applyBorder="1"/>
    <xf numFmtId="4" fontId="37" fillId="0" borderId="0" xfId="9" applyNumberFormat="1" applyFont="1" applyFill="1" applyBorder="1" applyAlignment="1"/>
    <xf numFmtId="0" fontId="37" fillId="0" borderId="0" xfId="9" applyFont="1" applyFill="1" applyBorder="1" applyAlignment="1">
      <alignment wrapText="1"/>
    </xf>
    <xf numFmtId="168" fontId="37" fillId="0" borderId="22" xfId="9" applyNumberFormat="1" applyFont="1" applyFill="1" applyBorder="1"/>
    <xf numFmtId="168" fontId="37" fillId="0" borderId="23" xfId="9" applyNumberFormat="1" applyFont="1" applyFill="1" applyBorder="1"/>
    <xf numFmtId="169" fontId="37" fillId="0" borderId="23" xfId="9" applyNumberFormat="1" applyFont="1" applyFill="1" applyBorder="1"/>
    <xf numFmtId="2" fontId="37" fillId="0" borderId="23" xfId="9" applyNumberFormat="1" applyFont="1" applyFill="1" applyBorder="1"/>
    <xf numFmtId="0" fontId="37" fillId="0" borderId="23" xfId="9" applyNumberFormat="1" applyFont="1" applyFill="1" applyBorder="1"/>
    <xf numFmtId="4" fontId="37" fillId="0" borderId="23" xfId="9" applyNumberFormat="1" applyFont="1" applyFill="1" applyBorder="1"/>
    <xf numFmtId="3" fontId="37" fillId="0" borderId="22" xfId="9" applyNumberFormat="1" applyFont="1" applyFill="1" applyBorder="1" applyAlignment="1">
      <alignment horizontal="left" wrapText="1"/>
    </xf>
    <xf numFmtId="3" fontId="37" fillId="0" borderId="24" xfId="9" applyNumberFormat="1" applyFont="1" applyFill="1" applyBorder="1" applyAlignment="1">
      <alignment horizontal="left" wrapText="1"/>
    </xf>
    <xf numFmtId="3" fontId="37" fillId="0" borderId="0" xfId="9" applyNumberFormat="1" applyFont="1" applyFill="1" applyBorder="1" applyAlignment="1">
      <alignment horizontal="left"/>
    </xf>
    <xf numFmtId="168" fontId="37" fillId="0" borderId="14" xfId="9" applyNumberFormat="1" applyFont="1" applyFill="1" applyBorder="1"/>
    <xf numFmtId="0" fontId="37" fillId="0" borderId="14" xfId="9" applyFont="1" applyFill="1" applyBorder="1"/>
    <xf numFmtId="2" fontId="37" fillId="0" borderId="14" xfId="9" applyNumberFormat="1" applyFont="1" applyFill="1" applyBorder="1"/>
    <xf numFmtId="4" fontId="37" fillId="0" borderId="14" xfId="9" applyNumberFormat="1" applyFont="1" applyFill="1" applyBorder="1"/>
    <xf numFmtId="3" fontId="37" fillId="0" borderId="14" xfId="9" applyNumberFormat="1" applyFont="1" applyFill="1" applyBorder="1" applyAlignment="1">
      <alignment horizontal="left"/>
    </xf>
    <xf numFmtId="0" fontId="37" fillId="0" borderId="14" xfId="9" applyNumberFormat="1" applyFont="1" applyFill="1" applyBorder="1"/>
    <xf numFmtId="0" fontId="37" fillId="0" borderId="14" xfId="9" applyFont="1" applyFill="1" applyBorder="1" applyAlignment="1">
      <alignment horizontal="left"/>
    </xf>
    <xf numFmtId="0" fontId="37" fillId="0" borderId="14" xfId="9" applyNumberFormat="1" applyFont="1" applyFill="1" applyBorder="1" applyAlignment="1">
      <alignment horizontal="left"/>
    </xf>
    <xf numFmtId="0" fontId="18" fillId="0" borderId="0" xfId="9" applyFont="1" applyFill="1" applyBorder="1" applyAlignment="1"/>
    <xf numFmtId="168" fontId="37" fillId="18" borderId="14" xfId="9" applyNumberFormat="1" applyFont="1" applyFill="1" applyBorder="1" applyAlignment="1">
      <alignment horizontal="center" wrapText="1"/>
    </xf>
    <xf numFmtId="0" fontId="37" fillId="18" borderId="14" xfId="9" applyFont="1" applyFill="1" applyBorder="1" applyAlignment="1">
      <alignment horizontal="center" wrapText="1"/>
    </xf>
    <xf numFmtId="0" fontId="37" fillId="18" borderId="14" xfId="9" applyFont="1" applyFill="1" applyBorder="1" applyAlignment="1">
      <alignment horizontal="center"/>
    </xf>
    <xf numFmtId="0" fontId="37" fillId="18" borderId="14" xfId="9" applyFont="1" applyFill="1" applyBorder="1" applyAlignment="1">
      <alignment horizontal="left" wrapText="1"/>
    </xf>
    <xf numFmtId="0" fontId="37" fillId="0" borderId="0" xfId="9" applyFont="1" applyFill="1" applyBorder="1" applyAlignment="1">
      <alignment horizontal="center"/>
    </xf>
    <xf numFmtId="168" fontId="37" fillId="0" borderId="0" xfId="9" applyNumberFormat="1" applyFont="1" applyFill="1" applyBorder="1" applyAlignment="1">
      <alignment horizontal="center"/>
    </xf>
    <xf numFmtId="169" fontId="37" fillId="0" borderId="0" xfId="9" applyNumberFormat="1" applyFont="1" applyFill="1" applyBorder="1" applyAlignment="1">
      <alignment horizontal="center"/>
    </xf>
    <xf numFmtId="5" fontId="37" fillId="0" borderId="0" xfId="9" applyNumberFormat="1" applyFont="1" applyFill="1" applyBorder="1" applyAlignment="1">
      <alignment horizontal="center"/>
    </xf>
    <xf numFmtId="0" fontId="38" fillId="0" borderId="0" xfId="9" applyFont="1" applyFill="1" applyBorder="1" applyAlignment="1">
      <alignment horizontal="left"/>
    </xf>
    <xf numFmtId="0" fontId="39" fillId="0" borderId="0" xfId="9" applyFont="1" applyFill="1" applyBorder="1" applyAlignment="1">
      <alignment horizontal="left"/>
    </xf>
    <xf numFmtId="5" fontId="37" fillId="0" borderId="0" xfId="9" applyNumberFormat="1" applyFont="1" applyFill="1" applyBorder="1" applyAlignment="1">
      <alignment wrapText="1"/>
    </xf>
    <xf numFmtId="3" fontId="37" fillId="0" borderId="0" xfId="9" applyNumberFormat="1" applyFont="1" applyFill="1" applyBorder="1" applyAlignment="1">
      <alignment horizontal="left" wrapText="1"/>
    </xf>
    <xf numFmtId="0" fontId="37" fillId="0" borderId="0" xfId="9" applyFont="1" applyFill="1" applyBorder="1" applyAlignment="1">
      <alignment vertical="center" wrapText="1"/>
    </xf>
    <xf numFmtId="5" fontId="37" fillId="6" borderId="20" xfId="9" applyNumberFormat="1" applyFont="1" applyFill="1" applyBorder="1" applyAlignment="1">
      <alignment vertical="center" wrapText="1"/>
    </xf>
    <xf numFmtId="6" fontId="37" fillId="6" borderId="20" xfId="9" applyNumberFormat="1" applyFont="1" applyFill="1" applyBorder="1" applyAlignment="1">
      <alignment vertical="center" wrapText="1"/>
    </xf>
    <xf numFmtId="3" fontId="37" fillId="6" borderId="20" xfId="9" applyNumberFormat="1" applyFont="1" applyFill="1" applyBorder="1" applyAlignment="1">
      <alignment horizontal="center" vertical="center" wrapText="1"/>
    </xf>
    <xf numFmtId="3" fontId="37" fillId="6" borderId="21" xfId="9" applyNumberFormat="1" applyFont="1" applyFill="1" applyBorder="1" applyAlignment="1">
      <alignment horizontal="left" vertical="center" wrapText="1"/>
    </xf>
    <xf numFmtId="5" fontId="37" fillId="0" borderId="17" xfId="9" applyNumberFormat="1" applyFont="1" applyFill="1" applyBorder="1"/>
    <xf numFmtId="6" fontId="37" fillId="0" borderId="17" xfId="9" applyNumberFormat="1" applyFont="1" applyFill="1" applyBorder="1"/>
    <xf numFmtId="168" fontId="37" fillId="0" borderId="17" xfId="9" applyNumberFormat="1" applyFont="1" applyFill="1" applyBorder="1"/>
    <xf numFmtId="3" fontId="37" fillId="0" borderId="17" xfId="9" applyNumberFormat="1" applyFont="1" applyFill="1" applyBorder="1" applyAlignment="1">
      <alignment horizontal="left"/>
    </xf>
    <xf numFmtId="5" fontId="37" fillId="0" borderId="17" xfId="9" applyNumberFormat="1" applyFont="1" applyFill="1" applyBorder="1" applyAlignment="1">
      <alignment horizontal="right"/>
    </xf>
    <xf numFmtId="0" fontId="37" fillId="0" borderId="17" xfId="9" applyFont="1" applyFill="1" applyBorder="1" applyAlignment="1">
      <alignment horizontal="left"/>
    </xf>
    <xf numFmtId="0" fontId="37" fillId="0" borderId="17" xfId="9" applyNumberFormat="1" applyFont="1" applyFill="1" applyBorder="1" applyAlignment="1">
      <alignment horizontal="left"/>
    </xf>
    <xf numFmtId="5" fontId="37" fillId="17" borderId="17" xfId="9" applyNumberFormat="1" applyFont="1" applyFill="1" applyBorder="1"/>
    <xf numFmtId="5" fontId="37" fillId="17" borderId="17" xfId="9" applyNumberFormat="1" applyFont="1" applyFill="1" applyBorder="1" applyAlignment="1">
      <alignment horizontal="right"/>
    </xf>
    <xf numFmtId="6" fontId="37" fillId="17" borderId="17" xfId="9" applyNumberFormat="1" applyFont="1" applyFill="1" applyBorder="1"/>
    <xf numFmtId="168" fontId="37" fillId="17" borderId="17" xfId="9" applyNumberFormat="1" applyFont="1" applyFill="1" applyBorder="1"/>
    <xf numFmtId="0" fontId="37" fillId="17" borderId="17" xfId="9" applyFont="1" applyFill="1" applyBorder="1" applyAlignment="1">
      <alignment horizontal="left"/>
    </xf>
    <xf numFmtId="8" fontId="37" fillId="0" borderId="17" xfId="9" applyNumberFormat="1" applyFont="1" applyFill="1" applyBorder="1"/>
    <xf numFmtId="5" fontId="37" fillId="0" borderId="26" xfId="9" applyNumberFormat="1" applyFont="1" applyFill="1" applyBorder="1"/>
    <xf numFmtId="5" fontId="37" fillId="0" borderId="26" xfId="9" applyNumberFormat="1" applyFont="1" applyFill="1" applyBorder="1" applyAlignment="1">
      <alignment horizontal="right"/>
    </xf>
    <xf numFmtId="6" fontId="37" fillId="0" borderId="26" xfId="9" applyNumberFormat="1" applyFont="1" applyFill="1" applyBorder="1"/>
    <xf numFmtId="168" fontId="37" fillId="0" borderId="26" xfId="9" applyNumberFormat="1" applyFont="1" applyFill="1" applyBorder="1"/>
    <xf numFmtId="0" fontId="37" fillId="0" borderId="26" xfId="9" applyFont="1" applyFill="1" applyBorder="1" applyAlignment="1">
      <alignment horizontal="left"/>
    </xf>
    <xf numFmtId="0" fontId="37" fillId="0" borderId="0" xfId="9" applyFont="1" applyFill="1" applyBorder="1" applyAlignment="1"/>
    <xf numFmtId="5" fontId="37" fillId="18" borderId="10" xfId="9" applyNumberFormat="1" applyFont="1" applyFill="1" applyBorder="1" applyAlignment="1">
      <alignment horizontal="center" wrapText="1"/>
    </xf>
    <xf numFmtId="5" fontId="40" fillId="18" borderId="10" xfId="9" applyNumberFormat="1" applyFont="1" applyFill="1" applyBorder="1" applyAlignment="1">
      <alignment horizontal="center" wrapText="1"/>
    </xf>
    <xf numFmtId="0" fontId="37" fillId="18" borderId="10" xfId="9" applyFont="1" applyFill="1" applyBorder="1" applyAlignment="1">
      <alignment horizontal="center" wrapText="1"/>
    </xf>
    <xf numFmtId="0" fontId="37" fillId="18" borderId="10" xfId="9" applyFont="1" applyFill="1" applyBorder="1" applyAlignment="1">
      <alignment horizontal="left" wrapText="1"/>
    </xf>
    <xf numFmtId="0" fontId="31" fillId="0" borderId="0" xfId="9" applyFont="1" applyFill="1" applyBorder="1"/>
    <xf numFmtId="168" fontId="31" fillId="0" borderId="0" xfId="9" applyNumberFormat="1" applyFont="1" applyFill="1" applyBorder="1"/>
    <xf numFmtId="0" fontId="32" fillId="0" borderId="0" xfId="9" applyFont="1" applyFill="1" applyBorder="1"/>
    <xf numFmtId="5" fontId="32" fillId="0" borderId="0" xfId="9" applyNumberFormat="1" applyFont="1" applyFill="1" applyBorder="1"/>
    <xf numFmtId="0" fontId="31" fillId="0" borderId="0" xfId="9" applyFont="1" applyFill="1" applyBorder="1" applyAlignment="1">
      <alignment horizontal="left"/>
    </xf>
    <xf numFmtId="4" fontId="31" fillId="0" borderId="0" xfId="9" applyNumberFormat="1" applyFont="1" applyFill="1" applyBorder="1"/>
    <xf numFmtId="4" fontId="41" fillId="0" borderId="14" xfId="9" applyNumberFormat="1" applyFont="1" applyFill="1" applyBorder="1" applyAlignment="1"/>
    <xf numFmtId="0" fontId="31" fillId="0" borderId="0" xfId="9" applyFont="1" applyFill="1" applyBorder="1" applyAlignment="1">
      <alignment wrapText="1"/>
    </xf>
    <xf numFmtId="168" fontId="31" fillId="0" borderId="22" xfId="9" applyNumberFormat="1" applyFont="1" applyFill="1" applyBorder="1"/>
    <xf numFmtId="168" fontId="31" fillId="0" borderId="23" xfId="9" applyNumberFormat="1" applyFont="1" applyFill="1" applyBorder="1"/>
    <xf numFmtId="2" fontId="31" fillId="0" borderId="23" xfId="9" applyNumberFormat="1" applyFont="1" applyFill="1" applyBorder="1"/>
    <xf numFmtId="0" fontId="31" fillId="0" borderId="23" xfId="9" applyNumberFormat="1" applyFont="1" applyFill="1" applyBorder="1"/>
    <xf numFmtId="4" fontId="31" fillId="0" borderId="23" xfId="9" applyNumberFormat="1" applyFont="1" applyFill="1" applyBorder="1"/>
    <xf numFmtId="3" fontId="31" fillId="0" borderId="22" xfId="9" applyNumberFormat="1" applyFont="1" applyFill="1" applyBorder="1" applyAlignment="1">
      <alignment horizontal="left" wrapText="1"/>
    </xf>
    <xf numFmtId="3" fontId="31" fillId="0" borderId="24" xfId="9" applyNumberFormat="1" applyFont="1" applyFill="1" applyBorder="1" applyAlignment="1">
      <alignment horizontal="left" wrapText="1"/>
    </xf>
    <xf numFmtId="3" fontId="31" fillId="0" borderId="0" xfId="9" applyNumberFormat="1" applyFont="1" applyFill="1" applyBorder="1" applyAlignment="1">
      <alignment horizontal="left"/>
    </xf>
    <xf numFmtId="168" fontId="31" fillId="0" borderId="14" xfId="9" applyNumberFormat="1" applyFont="1" applyFill="1" applyBorder="1"/>
    <xf numFmtId="0" fontId="31" fillId="0" borderId="14" xfId="9" applyFont="1" applyFill="1" applyBorder="1"/>
    <xf numFmtId="2" fontId="31" fillId="0" borderId="14" xfId="9" applyNumberFormat="1" applyFont="1" applyFill="1" applyBorder="1"/>
    <xf numFmtId="4" fontId="31" fillId="0" borderId="14" xfId="9" applyNumberFormat="1" applyFont="1" applyFill="1" applyBorder="1"/>
    <xf numFmtId="3" fontId="31" fillId="0" borderId="14" xfId="9" applyNumberFormat="1" applyFont="1" applyFill="1" applyBorder="1" applyAlignment="1">
      <alignment horizontal="left"/>
    </xf>
    <xf numFmtId="0" fontId="31" fillId="0" borderId="14" xfId="9" applyNumberFormat="1" applyFont="1" applyFill="1" applyBorder="1"/>
    <xf numFmtId="0" fontId="31" fillId="0" borderId="14" xfId="9" applyFont="1" applyFill="1" applyBorder="1" applyAlignment="1">
      <alignment horizontal="left"/>
    </xf>
    <xf numFmtId="0" fontId="31" fillId="0" borderId="14" xfId="9" applyNumberFormat="1" applyFont="1" applyFill="1" applyBorder="1" applyAlignment="1">
      <alignment horizontal="left"/>
    </xf>
    <xf numFmtId="168" fontId="31" fillId="0" borderId="16" xfId="9" applyNumberFormat="1" applyFont="1" applyFill="1" applyBorder="1"/>
    <xf numFmtId="168" fontId="31" fillId="0" borderId="27" xfId="9" applyNumberFormat="1" applyFont="1" applyFill="1" applyBorder="1"/>
    <xf numFmtId="2" fontId="31" fillId="0" borderId="27" xfId="9" applyNumberFormat="1" applyFont="1" applyFill="1" applyBorder="1"/>
    <xf numFmtId="0" fontId="31" fillId="0" borderId="15" xfId="9" applyNumberFormat="1" applyFont="1" applyFill="1" applyBorder="1"/>
    <xf numFmtId="0" fontId="42" fillId="0" borderId="0" xfId="9" applyFont="1" applyFill="1" applyBorder="1" applyAlignment="1"/>
    <xf numFmtId="168" fontId="43" fillId="20" borderId="14" xfId="9" applyNumberFormat="1" applyFont="1" applyFill="1" applyBorder="1" applyAlignment="1">
      <alignment horizontal="center" wrapText="1"/>
    </xf>
    <xf numFmtId="168" fontId="32" fillId="20" borderId="14" xfId="9" applyNumberFormat="1" applyFont="1" applyFill="1" applyBorder="1" applyAlignment="1">
      <alignment horizontal="center" wrapText="1"/>
    </xf>
    <xf numFmtId="0" fontId="32" fillId="20" borderId="14" xfId="9" applyFont="1" applyFill="1" applyBorder="1" applyAlignment="1">
      <alignment horizontal="center" wrapText="1"/>
    </xf>
    <xf numFmtId="0" fontId="32" fillId="20" borderId="14" xfId="9" applyFont="1" applyFill="1" applyBorder="1" applyAlignment="1">
      <alignment horizontal="center"/>
    </xf>
    <xf numFmtId="0" fontId="32" fillId="20" borderId="14" xfId="9" applyFont="1" applyFill="1" applyBorder="1" applyAlignment="1">
      <alignment horizontal="left" wrapText="1"/>
    </xf>
    <xf numFmtId="0" fontId="31" fillId="0" borderId="0" xfId="9" applyFont="1" applyFill="1" applyBorder="1" applyAlignment="1">
      <alignment horizontal="center"/>
    </xf>
    <xf numFmtId="168" fontId="31" fillId="0" borderId="0" xfId="9" applyNumberFormat="1" applyFont="1" applyFill="1" applyBorder="1" applyAlignment="1">
      <alignment horizontal="center"/>
    </xf>
    <xf numFmtId="0" fontId="44" fillId="0" borderId="0" xfId="9" applyFont="1" applyFill="1" applyBorder="1" applyAlignment="1">
      <alignment horizontal="center"/>
    </xf>
    <xf numFmtId="169" fontId="31" fillId="0" borderId="0" xfId="9" applyNumberFormat="1" applyFont="1" applyFill="1" applyBorder="1" applyAlignment="1">
      <alignment horizontal="center"/>
    </xf>
    <xf numFmtId="0" fontId="33" fillId="0" borderId="0" xfId="9" applyFont="1" applyFill="1" applyBorder="1" applyAlignment="1">
      <alignment horizontal="center"/>
    </xf>
    <xf numFmtId="5" fontId="32" fillId="0" borderId="0" xfId="9" applyNumberFormat="1" applyFont="1" applyFill="1" applyBorder="1" applyAlignment="1">
      <alignment horizontal="center"/>
    </xf>
    <xf numFmtId="0" fontId="45" fillId="0" borderId="0" xfId="9" applyFont="1" applyFill="1" applyBorder="1" applyAlignment="1"/>
    <xf numFmtId="4" fontId="45" fillId="0" borderId="0" xfId="9" applyNumberFormat="1" applyFont="1" applyFill="1" applyBorder="1" applyAlignment="1"/>
    <xf numFmtId="4" fontId="45" fillId="21" borderId="28" xfId="9" applyNumberFormat="1" applyFont="1" applyFill="1" applyBorder="1" applyAlignment="1"/>
    <xf numFmtId="0" fontId="45" fillId="21" borderId="29" xfId="9" applyFont="1" applyFill="1" applyBorder="1" applyAlignment="1">
      <alignment horizontal="center"/>
    </xf>
    <xf numFmtId="4" fontId="45" fillId="0" borderId="30" xfId="9" applyNumberFormat="1" applyFont="1" applyFill="1" applyBorder="1" applyAlignment="1"/>
    <xf numFmtId="4" fontId="46" fillId="0" borderId="30" xfId="9" applyNumberFormat="1" applyFont="1" applyFill="1" applyBorder="1" applyAlignment="1"/>
    <xf numFmtId="0" fontId="47" fillId="19" borderId="30" xfId="6" applyFont="1" applyFill="1" applyBorder="1" applyAlignment="1"/>
    <xf numFmtId="0" fontId="47" fillId="19" borderId="31" xfId="6" applyNumberFormat="1" applyFont="1" applyFill="1" applyBorder="1" applyAlignment="1"/>
    <xf numFmtId="0" fontId="45" fillId="19" borderId="30" xfId="6" applyFont="1" applyFill="1" applyBorder="1" applyAlignment="1"/>
    <xf numFmtId="0" fontId="45" fillId="19" borderId="31" xfId="6" applyNumberFormat="1" applyFont="1" applyFill="1" applyBorder="1" applyAlignment="1"/>
    <xf numFmtId="4" fontId="46" fillId="22" borderId="30" xfId="9" applyNumberFormat="1" applyFont="1" applyFill="1" applyBorder="1" applyAlignment="1"/>
    <xf numFmtId="3" fontId="46" fillId="22" borderId="30" xfId="9" applyNumberFormat="1" applyFont="1" applyFill="1" applyBorder="1" applyAlignment="1"/>
    <xf numFmtId="0" fontId="46" fillId="22" borderId="30" xfId="6" applyFont="1" applyFill="1" applyBorder="1" applyAlignment="1"/>
    <xf numFmtId="0" fontId="46" fillId="22" borderId="31" xfId="6" applyNumberFormat="1" applyFont="1" applyFill="1" applyBorder="1" applyAlignment="1"/>
    <xf numFmtId="0" fontId="46" fillId="0" borderId="30" xfId="6" applyFont="1" applyFill="1" applyBorder="1" applyAlignment="1"/>
    <xf numFmtId="0" fontId="46" fillId="0" borderId="32" xfId="6" applyNumberFormat="1" applyFont="1" applyFill="1" applyBorder="1" applyAlignment="1"/>
    <xf numFmtId="0" fontId="45" fillId="0" borderId="0" xfId="9" applyFont="1" applyFill="1" applyBorder="1" applyAlignment="1">
      <alignment wrapText="1"/>
    </xf>
    <xf numFmtId="4" fontId="48" fillId="16" borderId="33" xfId="6" applyNumberFormat="1" applyFont="1" applyFill="1" applyBorder="1" applyAlignment="1">
      <alignment horizontal="center" wrapText="1"/>
    </xf>
    <xf numFmtId="0" fontId="48" fillId="16" borderId="33" xfId="6" applyFont="1" applyFill="1" applyBorder="1" applyAlignment="1">
      <alignment horizontal="center" wrapText="1"/>
    </xf>
    <xf numFmtId="0" fontId="48" fillId="16" borderId="34" xfId="6" applyFont="1" applyFill="1" applyBorder="1" applyAlignment="1">
      <alignment horizontal="center" wrapText="1"/>
    </xf>
    <xf numFmtId="0" fontId="49" fillId="0" borderId="0" xfId="9" applyFont="1" applyFill="1" applyBorder="1" applyAlignment="1">
      <alignment horizontal="center"/>
    </xf>
    <xf numFmtId="0" fontId="50" fillId="0" borderId="0" xfId="9" applyFont="1" applyFill="1" applyBorder="1" applyAlignment="1"/>
    <xf numFmtId="164" fontId="2" fillId="0" borderId="0" xfId="1" applyNumberFormat="1" applyFont="1" applyAlignment="1">
      <alignment horizontal="center" wrapText="1"/>
    </xf>
    <xf numFmtId="3" fontId="37" fillId="6" borderId="20" xfId="9" applyNumberFormat="1" applyFont="1" applyFill="1" applyBorder="1" applyAlignment="1">
      <alignment horizontal="left" vertical="center" wrapText="1"/>
    </xf>
    <xf numFmtId="0" fontId="48" fillId="16" borderId="37" xfId="6" applyFont="1" applyFill="1" applyBorder="1" applyAlignment="1">
      <alignment horizontal="center" wrapText="1"/>
    </xf>
    <xf numFmtId="0" fontId="46" fillId="22" borderId="38" xfId="6" applyNumberFormat="1" applyFont="1" applyFill="1" applyBorder="1" applyAlignment="1"/>
    <xf numFmtId="0" fontId="47" fillId="19" borderId="38" xfId="6" applyNumberFormat="1" applyFont="1" applyFill="1" applyBorder="1" applyAlignment="1"/>
    <xf numFmtId="0" fontId="45" fillId="19" borderId="38" xfId="6" applyNumberFormat="1" applyFont="1" applyFill="1" applyBorder="1" applyAlignment="1"/>
    <xf numFmtId="4" fontId="31" fillId="3" borderId="15" xfId="9" applyNumberFormat="1" applyFont="1" applyFill="1" applyBorder="1" applyAlignment="1"/>
    <xf numFmtId="4" fontId="31" fillId="3" borderId="27" xfId="9" applyNumberFormat="1" applyFont="1" applyFill="1" applyBorder="1" applyAlignment="1"/>
    <xf numFmtId="4" fontId="31" fillId="3" borderId="16" xfId="9" applyNumberFormat="1" applyFont="1" applyFill="1" applyBorder="1" applyAlignment="1"/>
    <xf numFmtId="0" fontId="10" fillId="0" borderId="0" xfId="10" applyFont="1"/>
    <xf numFmtId="168" fontId="2" fillId="0" borderId="0" xfId="10" applyNumberFormat="1" applyFont="1"/>
    <xf numFmtId="0" fontId="3" fillId="0" borderId="0" xfId="10" applyNumberFormat="1" applyFont="1" applyBorder="1"/>
    <xf numFmtId="168" fontId="2" fillId="0" borderId="17" xfId="10" applyNumberFormat="1" applyFont="1" applyFill="1" applyBorder="1"/>
    <xf numFmtId="0" fontId="54" fillId="0" borderId="17" xfId="6" applyFont="1" applyFill="1" applyBorder="1" applyAlignment="1"/>
    <xf numFmtId="0" fontId="54" fillId="0" borderId="17" xfId="6" applyFont="1" applyFill="1" applyBorder="1" applyAlignment="1">
      <alignment horizontal="right"/>
    </xf>
    <xf numFmtId="0" fontId="2" fillId="0" borderId="0" xfId="10" applyFont="1"/>
    <xf numFmtId="168" fontId="2" fillId="0" borderId="17" xfId="10" applyNumberFormat="1" applyFont="1" applyBorder="1"/>
    <xf numFmtId="0" fontId="2" fillId="0" borderId="17" xfId="10" applyFont="1" applyBorder="1" applyAlignment="1">
      <alignment horizontal="right"/>
    </xf>
    <xf numFmtId="0" fontId="2" fillId="0" borderId="17" xfId="10" applyFont="1" applyBorder="1"/>
    <xf numFmtId="168" fontId="2" fillId="10" borderId="17" xfId="10" applyNumberFormat="1" applyFont="1" applyFill="1" applyBorder="1"/>
    <xf numFmtId="0" fontId="10" fillId="0" borderId="0" xfId="10" applyFont="1" applyAlignment="1">
      <alignment wrapText="1"/>
    </xf>
    <xf numFmtId="168" fontId="18" fillId="9" borderId="17" xfId="6" applyNumberFormat="1" applyFont="1" applyFill="1" applyBorder="1" applyAlignment="1">
      <alignment horizontal="center" wrapText="1"/>
    </xf>
    <xf numFmtId="168" fontId="54" fillId="8" borderId="17" xfId="6" applyNumberFormat="1" applyFont="1" applyFill="1" applyBorder="1" applyAlignment="1">
      <alignment horizontal="center" wrapText="1"/>
    </xf>
    <xf numFmtId="0" fontId="54" fillId="8" borderId="17" xfId="6" applyFont="1" applyFill="1" applyBorder="1" applyAlignment="1">
      <alignment horizontal="center" wrapText="1"/>
    </xf>
    <xf numFmtId="168" fontId="18" fillId="0" borderId="0" xfId="10" applyNumberFormat="1" applyFont="1" applyFill="1" applyAlignment="1">
      <alignment horizontal="center"/>
    </xf>
    <xf numFmtId="168" fontId="45" fillId="0" borderId="0" xfId="10" applyNumberFormat="1" applyFont="1" applyAlignment="1">
      <alignment horizontal="center"/>
    </xf>
    <xf numFmtId="168" fontId="55" fillId="0" borderId="0" xfId="10" applyNumberFormat="1" applyFont="1" applyAlignment="1">
      <alignment horizontal="center"/>
    </xf>
    <xf numFmtId="0" fontId="55" fillId="0" borderId="45" xfId="10" applyFont="1" applyFill="1" applyBorder="1" applyAlignment="1">
      <alignment wrapText="1"/>
    </xf>
    <xf numFmtId="0" fontId="49" fillId="0" borderId="45" xfId="10" applyFont="1" applyFill="1" applyBorder="1" applyAlignment="1">
      <alignment wrapText="1"/>
    </xf>
    <xf numFmtId="9" fontId="2" fillId="0" borderId="0" xfId="11" applyFont="1" applyAlignment="1">
      <alignment horizontal="center"/>
    </xf>
    <xf numFmtId="168" fontId="2" fillId="0" borderId="0" xfId="10" applyNumberFormat="1" applyFont="1" applyBorder="1"/>
    <xf numFmtId="0" fontId="56" fillId="0" borderId="0" xfId="10" applyFont="1" applyBorder="1" applyAlignment="1">
      <alignment horizontal="left"/>
    </xf>
    <xf numFmtId="0" fontId="57" fillId="0" borderId="0" xfId="10" applyFont="1" applyBorder="1" applyAlignment="1">
      <alignment horizontal="left"/>
    </xf>
    <xf numFmtId="166" fontId="45" fillId="0" borderId="0" xfId="3" applyNumberFormat="1" applyFont="1" applyFill="1" applyBorder="1" applyAlignment="1"/>
    <xf numFmtId="0" fontId="0" fillId="0" borderId="0" xfId="0" applyBorder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center" wrapText="1"/>
    </xf>
    <xf numFmtId="0" fontId="61" fillId="0" borderId="60" xfId="12" applyFont="1" applyFill="1" applyBorder="1" applyAlignment="1">
      <alignment horizontal="right"/>
    </xf>
    <xf numFmtId="0" fontId="61" fillId="0" borderId="60" xfId="12" applyFont="1" applyFill="1" applyBorder="1" applyAlignment="1"/>
    <xf numFmtId="171" fontId="61" fillId="0" borderId="60" xfId="12" applyNumberFormat="1" applyFont="1" applyFill="1" applyBorder="1" applyAlignment="1">
      <alignment horizontal="right"/>
    </xf>
    <xf numFmtId="171" fontId="61" fillId="0" borderId="0" xfId="12" applyNumberFormat="1" applyFont="1" applyFill="1" applyBorder="1" applyAlignment="1">
      <alignment horizontal="right"/>
    </xf>
    <xf numFmtId="43" fontId="59" fillId="0" borderId="0" xfId="1" applyFont="1"/>
    <xf numFmtId="172" fontId="61" fillId="0" borderId="0" xfId="12" applyNumberFormat="1" applyFont="1" applyFill="1" applyBorder="1" applyAlignment="1">
      <alignment horizontal="right"/>
    </xf>
    <xf numFmtId="10" fontId="59" fillId="0" borderId="0" xfId="3" applyNumberFormat="1" applyFont="1"/>
    <xf numFmtId="0" fontId="61" fillId="0" borderId="61" xfId="12" applyFont="1" applyFill="1" applyBorder="1" applyAlignment="1">
      <alignment horizontal="right"/>
    </xf>
    <xf numFmtId="0" fontId="61" fillId="0" borderId="61" xfId="12" applyFont="1" applyFill="1" applyBorder="1" applyAlignment="1"/>
    <xf numFmtId="171" fontId="61" fillId="0" borderId="61" xfId="12" applyNumberFormat="1" applyFont="1" applyFill="1" applyBorder="1" applyAlignment="1">
      <alignment horizontal="right"/>
    </xf>
    <xf numFmtId="0" fontId="61" fillId="0" borderId="0" xfId="12" applyFont="1" applyFill="1" applyBorder="1" applyAlignment="1">
      <alignment horizontal="right"/>
    </xf>
    <xf numFmtId="0" fontId="61" fillId="0" borderId="0" xfId="12" applyFont="1" applyFill="1" applyBorder="1" applyAlignment="1"/>
    <xf numFmtId="171" fontId="59" fillId="0" borderId="62" xfId="0" applyNumberFormat="1" applyFont="1" applyBorder="1"/>
    <xf numFmtId="43" fontId="59" fillId="0" borderId="62" xfId="1" applyFont="1" applyBorder="1"/>
    <xf numFmtId="172" fontId="61" fillId="0" borderId="62" xfId="12" applyNumberFormat="1" applyFont="1" applyFill="1" applyBorder="1" applyAlignment="1">
      <alignment horizontal="right"/>
    </xf>
    <xf numFmtId="0" fontId="59" fillId="0" borderId="0" xfId="0" applyFont="1" applyAlignment="1">
      <alignment horizontal="right"/>
    </xf>
    <xf numFmtId="10" fontId="61" fillId="0" borderId="0" xfId="3" applyNumberFormat="1" applyFont="1" applyFill="1" applyBorder="1" applyAlignment="1">
      <alignment horizontal="right"/>
    </xf>
    <xf numFmtId="171" fontId="59" fillId="0" borderId="0" xfId="0" applyNumberFormat="1" applyFont="1"/>
    <xf numFmtId="0" fontId="62" fillId="0" borderId="63" xfId="0" applyFont="1" applyBorder="1" applyAlignment="1">
      <alignment horizontal="left"/>
    </xf>
    <xf numFmtId="0" fontId="55" fillId="0" borderId="63" xfId="0" applyFont="1" applyFill="1" applyBorder="1" applyAlignment="1">
      <alignment wrapText="1"/>
    </xf>
    <xf numFmtId="0" fontId="2" fillId="0" borderId="63" xfId="0" applyFont="1" applyBorder="1"/>
    <xf numFmtId="1" fontId="55" fillId="21" borderId="63" xfId="0" applyNumberFormat="1" applyFont="1" applyFill="1" applyBorder="1" applyAlignment="1">
      <alignment horizontal="center" wrapText="1"/>
    </xf>
    <xf numFmtId="1" fontId="55" fillId="3" borderId="63" xfId="0" applyNumberFormat="1" applyFont="1" applyFill="1" applyBorder="1" applyAlignment="1">
      <alignment horizontal="center" wrapText="1"/>
    </xf>
    <xf numFmtId="1" fontId="55" fillId="15" borderId="63" xfId="0" applyNumberFormat="1" applyFont="1" applyFill="1" applyBorder="1" applyAlignment="1">
      <alignment horizontal="center" wrapText="1"/>
    </xf>
    <xf numFmtId="0" fontId="2" fillId="0" borderId="63" xfId="0" applyFont="1" applyBorder="1" applyAlignment="1">
      <alignment horizontal="center"/>
    </xf>
    <xf numFmtId="0" fontId="55" fillId="0" borderId="63" xfId="0" applyFont="1" applyFill="1" applyBorder="1" applyAlignment="1">
      <alignment horizontal="center" wrapText="1"/>
    </xf>
    <xf numFmtId="0" fontId="54" fillId="0" borderId="63" xfId="13" applyFont="1" applyFill="1" applyBorder="1" applyAlignment="1">
      <alignment horizontal="right"/>
    </xf>
    <xf numFmtId="0" fontId="54" fillId="0" borderId="63" xfId="13" applyFont="1" applyFill="1" applyBorder="1" applyAlignment="1"/>
    <xf numFmtId="172" fontId="54" fillId="0" borderId="63" xfId="13" applyNumberFormat="1" applyFont="1" applyFill="1" applyBorder="1" applyAlignment="1">
      <alignment horizontal="right"/>
    </xf>
    <xf numFmtId="0" fontId="54" fillId="0" borderId="63" xfId="13" applyFont="1" applyBorder="1" applyAlignment="1"/>
    <xf numFmtId="172" fontId="55" fillId="0" borderId="63" xfId="13" applyNumberFormat="1" applyFont="1" applyFill="1" applyBorder="1" applyAlignment="1">
      <alignment horizontal="right"/>
    </xf>
    <xf numFmtId="0" fontId="47" fillId="0" borderId="0" xfId="12" applyFont="1" applyFill="1" applyBorder="1" applyAlignment="1"/>
    <xf numFmtId="10" fontId="17" fillId="0" borderId="0" xfId="0" applyNumberFormat="1" applyFont="1"/>
    <xf numFmtId="172" fontId="2" fillId="0" borderId="0" xfId="0" applyNumberFormat="1" applyFont="1" applyBorder="1"/>
    <xf numFmtId="0" fontId="13" fillId="0" borderId="18" xfId="0" applyFont="1" applyBorder="1" applyAlignment="1">
      <alignment horizontal="left" wrapText="1"/>
    </xf>
    <xf numFmtId="0" fontId="63" fillId="0" borderId="0" xfId="0" applyFont="1" applyAlignment="1">
      <alignment horizontal="center" wrapText="1"/>
    </xf>
    <xf numFmtId="0" fontId="63" fillId="0" borderId="0" xfId="0" applyFont="1"/>
    <xf numFmtId="166" fontId="63" fillId="0" borderId="0" xfId="3" applyNumberFormat="1" applyFont="1" applyAlignment="1">
      <alignment horizontal="center"/>
    </xf>
    <xf numFmtId="166" fontId="63" fillId="0" borderId="0" xfId="0" applyNumberFormat="1" applyFont="1" applyAlignment="1">
      <alignment horizontal="center"/>
    </xf>
    <xf numFmtId="4" fontId="63" fillId="0" borderId="0" xfId="1" applyNumberFormat="1" applyFont="1" applyAlignment="1">
      <alignment horizontal="center" wrapText="1"/>
    </xf>
    <xf numFmtId="44" fontId="63" fillId="0" borderId="0" xfId="2" applyFont="1"/>
    <xf numFmtId="44" fontId="63" fillId="0" borderId="0" xfId="0" applyNumberFormat="1" applyFont="1"/>
    <xf numFmtId="165" fontId="63" fillId="0" borderId="0" xfId="0" applyNumberFormat="1" applyFont="1"/>
    <xf numFmtId="10" fontId="63" fillId="0" borderId="0" xfId="0" applyNumberFormat="1" applyFont="1" applyAlignment="1">
      <alignment horizontal="center"/>
    </xf>
    <xf numFmtId="0" fontId="65" fillId="21" borderId="46" xfId="0" applyFont="1" applyFill="1" applyBorder="1"/>
    <xf numFmtId="165" fontId="65" fillId="21" borderId="47" xfId="0" applyNumberFormat="1" applyFont="1" applyFill="1" applyBorder="1"/>
    <xf numFmtId="165" fontId="65" fillId="21" borderId="48" xfId="0" applyNumberFormat="1" applyFont="1" applyFill="1" applyBorder="1"/>
    <xf numFmtId="0" fontId="63" fillId="0" borderId="40" xfId="0" applyFont="1" applyBorder="1"/>
    <xf numFmtId="165" fontId="63" fillId="0" borderId="0" xfId="0" applyNumberFormat="1" applyFont="1" applyBorder="1"/>
    <xf numFmtId="165" fontId="63" fillId="0" borderId="41" xfId="0" applyNumberFormat="1" applyFont="1" applyBorder="1"/>
    <xf numFmtId="0" fontId="65" fillId="18" borderId="42" xfId="0" applyFont="1" applyFill="1" applyBorder="1"/>
    <xf numFmtId="165" fontId="65" fillId="18" borderId="43" xfId="0" applyNumberFormat="1" applyFont="1" applyFill="1" applyBorder="1"/>
    <xf numFmtId="165" fontId="65" fillId="18" borderId="44" xfId="0" applyNumberFormat="1" applyFont="1" applyFill="1" applyBorder="1"/>
    <xf numFmtId="0" fontId="63" fillId="0" borderId="40" xfId="0" applyFont="1" applyFill="1" applyBorder="1"/>
    <xf numFmtId="165" fontId="63" fillId="0" borderId="0" xfId="2" applyNumberFormat="1" applyFont="1"/>
    <xf numFmtId="166" fontId="63" fillId="0" borderId="0" xfId="3" applyNumberFormat="1" applyFont="1"/>
    <xf numFmtId="0" fontId="63" fillId="0" borderId="0" xfId="0" applyFont="1" applyFill="1" applyBorder="1" applyAlignment="1">
      <alignment horizontal="center"/>
    </xf>
    <xf numFmtId="165" fontId="63" fillId="3" borderId="0" xfId="0" applyNumberFormat="1" applyFont="1" applyFill="1"/>
    <xf numFmtId="0" fontId="65" fillId="0" borderId="0" xfId="0" applyFont="1"/>
    <xf numFmtId="165" fontId="63" fillId="0" borderId="18" xfId="0" applyNumberFormat="1" applyFont="1" applyBorder="1"/>
    <xf numFmtId="0" fontId="64" fillId="0" borderId="0" xfId="0" applyFont="1"/>
    <xf numFmtId="10" fontId="59" fillId="0" borderId="0" xfId="0" applyNumberFormat="1" applyFont="1"/>
    <xf numFmtId="0" fontId="0" fillId="0" borderId="39" xfId="0" applyBorder="1"/>
    <xf numFmtId="0" fontId="0" fillId="0" borderId="0" xfId="0" applyBorder="1" applyAlignment="1">
      <alignment horizontal="left"/>
    </xf>
    <xf numFmtId="0" fontId="66" fillId="0" borderId="0" xfId="0" applyFont="1" applyAlignment="1">
      <alignment horizontal="center" vertical="center"/>
    </xf>
    <xf numFmtId="0" fontId="32" fillId="0" borderId="0" xfId="9" applyFont="1" applyFill="1" applyBorder="1" applyAlignment="1">
      <alignment horizontal="center"/>
    </xf>
    <xf numFmtId="0" fontId="42" fillId="25" borderId="14" xfId="9" applyFont="1" applyFill="1" applyBorder="1" applyAlignment="1">
      <alignment horizontal="left" wrapText="1"/>
    </xf>
    <xf numFmtId="0" fontId="42" fillId="25" borderId="14" xfId="9" applyFont="1" applyFill="1" applyBorder="1" applyAlignment="1">
      <alignment horizontal="center" wrapText="1"/>
    </xf>
    <xf numFmtId="173" fontId="42" fillId="25" borderId="14" xfId="9" quotePrefix="1" applyNumberFormat="1" applyFont="1" applyFill="1" applyBorder="1" applyAlignment="1">
      <alignment horizontal="center" wrapText="1"/>
    </xf>
    <xf numFmtId="174" fontId="42" fillId="25" borderId="14" xfId="9" applyNumberFormat="1" applyFont="1" applyFill="1" applyBorder="1" applyAlignment="1">
      <alignment horizontal="center" wrapText="1"/>
    </xf>
    <xf numFmtId="0" fontId="42" fillId="25" borderId="14" xfId="9" applyFont="1" applyFill="1" applyBorder="1" applyAlignment="1">
      <alignment horizontal="center"/>
    </xf>
    <xf numFmtId="168" fontId="42" fillId="25" borderId="14" xfId="9" applyNumberFormat="1" applyFont="1" applyFill="1" applyBorder="1" applyAlignment="1">
      <alignment horizontal="center" wrapText="1"/>
    </xf>
    <xf numFmtId="4" fontId="31" fillId="5" borderId="14" xfId="9" applyNumberFormat="1" applyFont="1" applyFill="1" applyBorder="1"/>
    <xf numFmtId="2" fontId="31" fillId="5" borderId="14" xfId="9" applyNumberFormat="1" applyFont="1" applyFill="1" applyBorder="1"/>
    <xf numFmtId="168" fontId="31" fillId="5" borderId="14" xfId="9" applyNumberFormat="1" applyFont="1" applyFill="1" applyBorder="1"/>
    <xf numFmtId="4" fontId="37" fillId="0" borderId="14" xfId="9" applyNumberFormat="1" applyFont="1" applyFill="1" applyBorder="1" applyAlignment="1"/>
    <xf numFmtId="0" fontId="42" fillId="25" borderId="64" xfId="9" applyFont="1" applyFill="1" applyBorder="1" applyAlignment="1">
      <alignment horizontal="left" wrapText="1"/>
    </xf>
    <xf numFmtId="0" fontId="42" fillId="25" borderId="64" xfId="9" applyFont="1" applyFill="1" applyBorder="1" applyAlignment="1">
      <alignment horizontal="center" wrapText="1"/>
    </xf>
    <xf numFmtId="168" fontId="42" fillId="25" borderId="64" xfId="9" applyNumberFormat="1" applyFont="1" applyFill="1" applyBorder="1" applyAlignment="1">
      <alignment horizontal="center" wrapText="1"/>
    </xf>
    <xf numFmtId="5" fontId="42" fillId="25" borderId="64" xfId="9" applyNumberFormat="1" applyFont="1" applyFill="1" applyBorder="1" applyAlignment="1">
      <alignment horizontal="center" wrapText="1"/>
    </xf>
    <xf numFmtId="5" fontId="67" fillId="25" borderId="64" xfId="9" applyNumberFormat="1" applyFont="1" applyFill="1" applyBorder="1" applyAlignment="1">
      <alignment horizontal="center" wrapText="1"/>
    </xf>
    <xf numFmtId="0" fontId="31" fillId="0" borderId="0" xfId="9" applyFont="1" applyFill="1" applyBorder="1" applyAlignment="1"/>
    <xf numFmtId="0" fontId="31" fillId="0" borderId="26" xfId="9" applyFont="1" applyFill="1" applyBorder="1" applyAlignment="1">
      <alignment horizontal="left"/>
    </xf>
    <xf numFmtId="168" fontId="31" fillId="0" borderId="26" xfId="9" applyNumberFormat="1" applyFont="1" applyFill="1" applyBorder="1"/>
    <xf numFmtId="5" fontId="31" fillId="0" borderId="26" xfId="9" applyNumberFormat="1" applyFont="1" applyFill="1" applyBorder="1"/>
    <xf numFmtId="6" fontId="31" fillId="0" borderId="26" xfId="9" applyNumberFormat="1" applyFont="1" applyFill="1" applyBorder="1"/>
    <xf numFmtId="5" fontId="31" fillId="0" borderId="26" xfId="9" applyNumberFormat="1" applyFont="1" applyFill="1" applyBorder="1" applyAlignment="1">
      <alignment horizontal="right"/>
    </xf>
    <xf numFmtId="0" fontId="31" fillId="0" borderId="17" xfId="9" applyFont="1" applyFill="1" applyBorder="1" applyAlignment="1">
      <alignment horizontal="left"/>
    </xf>
    <xf numFmtId="168" fontId="31" fillId="0" borderId="17" xfId="9" applyNumberFormat="1" applyFont="1" applyFill="1" applyBorder="1"/>
    <xf numFmtId="5" fontId="31" fillId="0" borderId="17" xfId="9" applyNumberFormat="1" applyFont="1" applyFill="1" applyBorder="1"/>
    <xf numFmtId="6" fontId="31" fillId="0" borderId="17" xfId="9" applyNumberFormat="1" applyFont="1" applyFill="1" applyBorder="1"/>
    <xf numFmtId="5" fontId="31" fillId="0" borderId="17" xfId="9" applyNumberFormat="1" applyFont="1" applyFill="1" applyBorder="1" applyAlignment="1">
      <alignment horizontal="right"/>
    </xf>
    <xf numFmtId="8" fontId="31" fillId="0" borderId="17" xfId="9" applyNumberFormat="1" applyFont="1" applyFill="1" applyBorder="1"/>
    <xf numFmtId="0" fontId="31" fillId="0" borderId="17" xfId="9" applyNumberFormat="1" applyFont="1" applyFill="1" applyBorder="1" applyAlignment="1">
      <alignment horizontal="left"/>
    </xf>
    <xf numFmtId="3" fontId="31" fillId="0" borderId="17" xfId="9" applyNumberFormat="1" applyFont="1" applyFill="1" applyBorder="1" applyAlignment="1">
      <alignment horizontal="left"/>
    </xf>
    <xf numFmtId="5" fontId="32" fillId="0" borderId="17" xfId="9" applyNumberFormat="1" applyFont="1" applyFill="1" applyBorder="1"/>
    <xf numFmtId="5" fontId="31" fillId="0" borderId="0" xfId="9" applyNumberFormat="1" applyFont="1" applyFill="1" applyBorder="1"/>
    <xf numFmtId="6" fontId="31" fillId="0" borderId="0" xfId="9" applyNumberFormat="1" applyFont="1" applyFill="1" applyBorder="1"/>
    <xf numFmtId="0" fontId="68" fillId="0" borderId="0" xfId="9" applyFont="1" applyFill="1" applyBorder="1"/>
    <xf numFmtId="3" fontId="31" fillId="23" borderId="21" xfId="9" applyNumberFormat="1" applyFont="1" applyFill="1" applyBorder="1" applyAlignment="1">
      <alignment horizontal="left" vertical="center" wrapText="1"/>
    </xf>
    <xf numFmtId="3" fontId="31" fillId="23" borderId="20" xfId="9" applyNumberFormat="1" applyFont="1" applyFill="1" applyBorder="1" applyAlignment="1">
      <alignment horizontal="left" vertical="center" wrapText="1"/>
    </xf>
    <xf numFmtId="5" fontId="31" fillId="23" borderId="65" xfId="9" applyNumberFormat="1" applyFont="1" applyFill="1" applyBorder="1" applyAlignment="1">
      <alignment vertical="center" wrapText="1"/>
    </xf>
    <xf numFmtId="5" fontId="31" fillId="23" borderId="66" xfId="9" applyNumberFormat="1" applyFont="1" applyFill="1" applyBorder="1" applyAlignment="1">
      <alignment vertical="center" wrapText="1"/>
    </xf>
    <xf numFmtId="6" fontId="31" fillId="23" borderId="66" xfId="9" applyNumberFormat="1" applyFont="1" applyFill="1" applyBorder="1" applyAlignment="1">
      <alignment vertical="center" wrapText="1"/>
    </xf>
    <xf numFmtId="5" fontId="68" fillId="23" borderId="66" xfId="9" applyNumberFormat="1" applyFont="1" applyFill="1" applyBorder="1" applyAlignment="1">
      <alignment vertical="center" wrapText="1"/>
    </xf>
    <xf numFmtId="5" fontId="32" fillId="23" borderId="66" xfId="9" applyNumberFormat="1" applyFont="1" applyFill="1" applyBorder="1" applyAlignment="1">
      <alignment vertical="center" wrapText="1"/>
    </xf>
    <xf numFmtId="5" fontId="31" fillId="23" borderId="67" xfId="9" applyNumberFormat="1" applyFont="1" applyFill="1" applyBorder="1" applyAlignment="1">
      <alignment vertical="center" wrapText="1"/>
    </xf>
    <xf numFmtId="0" fontId="31" fillId="0" borderId="0" xfId="9" applyFont="1" applyFill="1" applyBorder="1" applyAlignment="1">
      <alignment vertical="center" wrapText="1"/>
    </xf>
    <xf numFmtId="3" fontId="31" fillId="0" borderId="18" xfId="9" applyNumberFormat="1" applyFont="1" applyFill="1" applyBorder="1" applyAlignment="1">
      <alignment horizontal="left" wrapText="1"/>
    </xf>
    <xf numFmtId="5" fontId="31" fillId="0" borderId="18" xfId="9" applyNumberFormat="1" applyFont="1" applyFill="1" applyBorder="1" applyAlignment="1">
      <alignment wrapText="1"/>
    </xf>
    <xf numFmtId="0" fontId="68" fillId="0" borderId="18" xfId="9" applyFont="1" applyFill="1" applyBorder="1" applyAlignment="1">
      <alignment wrapText="1"/>
    </xf>
    <xf numFmtId="0" fontId="32" fillId="0" borderId="18" xfId="9" applyFont="1" applyFill="1" applyBorder="1" applyAlignment="1">
      <alignment wrapText="1"/>
    </xf>
    <xf numFmtId="0" fontId="31" fillId="0" borderId="18" xfId="9" applyFont="1" applyFill="1" applyBorder="1" applyAlignment="1">
      <alignment wrapText="1"/>
    </xf>
    <xf numFmtId="0" fontId="31" fillId="0" borderId="0" xfId="9" applyFont="1" applyFill="1" applyBorder="1" applyAlignment="1">
      <alignment horizontal="right"/>
    </xf>
    <xf numFmtId="5" fontId="33" fillId="0" borderId="0" xfId="9" applyNumberFormat="1" applyFont="1" applyFill="1" applyBorder="1"/>
    <xf numFmtId="0" fontId="0" fillId="0" borderId="68" xfId="0" applyBorder="1"/>
    <xf numFmtId="44" fontId="0" fillId="0" borderId="0" xfId="2" applyFont="1" applyBorder="1"/>
    <xf numFmtId="0" fontId="0" fillId="24" borderId="0" xfId="0" applyFill="1" applyBorder="1"/>
    <xf numFmtId="0" fontId="0" fillId="0" borderId="0" xfId="0" applyBorder="1"/>
    <xf numFmtId="0" fontId="59" fillId="0" borderId="70" xfId="0" applyFont="1" applyBorder="1" applyAlignment="1">
      <alignment horizontal="left" wrapText="1"/>
    </xf>
    <xf numFmtId="0" fontId="0" fillId="24" borderId="71" xfId="0" applyFill="1" applyBorder="1"/>
    <xf numFmtId="0" fontId="59" fillId="0" borderId="54" xfId="0" applyFont="1" applyBorder="1" applyAlignment="1">
      <alignment horizontal="left" wrapText="1"/>
    </xf>
    <xf numFmtId="0" fontId="0" fillId="26" borderId="0" xfId="0" applyFill="1"/>
    <xf numFmtId="0" fontId="0" fillId="0" borderId="72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24" borderId="0" xfId="0" applyFill="1" applyBorder="1" applyAlignment="1">
      <alignment horizontal="center"/>
    </xf>
    <xf numFmtId="0" fontId="0" fillId="24" borderId="72" xfId="0" applyFill="1" applyBorder="1" applyAlignment="1">
      <alignment horizontal="center"/>
    </xf>
    <xf numFmtId="0" fontId="0" fillId="24" borderId="72" xfId="0" applyFill="1" applyBorder="1"/>
    <xf numFmtId="0" fontId="0" fillId="26" borderId="0" xfId="0" applyFill="1" applyBorder="1"/>
    <xf numFmtId="0" fontId="0" fillId="26" borderId="72" xfId="0" applyFill="1" applyBorder="1"/>
    <xf numFmtId="0" fontId="0" fillId="24" borderId="74" xfId="0" applyFill="1" applyBorder="1"/>
    <xf numFmtId="0" fontId="0" fillId="0" borderId="75" xfId="0" applyBorder="1" applyAlignment="1">
      <alignment horizontal="center"/>
    </xf>
    <xf numFmtId="166" fontId="0" fillId="0" borderId="75" xfId="3" applyNumberFormat="1" applyFont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1" fontId="0" fillId="0" borderId="7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75" xfId="0" applyBorder="1"/>
    <xf numFmtId="2" fontId="0" fillId="26" borderId="75" xfId="0" applyNumberFormat="1" applyFill="1" applyBorder="1" applyAlignment="1">
      <alignment horizontal="center"/>
    </xf>
    <xf numFmtId="175" fontId="0" fillId="0" borderId="75" xfId="0" applyNumberFormat="1" applyBorder="1" applyAlignment="1">
      <alignment horizontal="center"/>
    </xf>
    <xf numFmtId="44" fontId="0" fillId="0" borderId="75" xfId="2" applyFont="1" applyBorder="1"/>
    <xf numFmtId="44" fontId="0" fillId="0" borderId="75" xfId="0" applyNumberFormat="1" applyBorder="1"/>
    <xf numFmtId="10" fontId="0" fillId="0" borderId="75" xfId="0" applyNumberFormat="1" applyBorder="1" applyAlignment="1">
      <alignment horizontal="center"/>
    </xf>
    <xf numFmtId="2" fontId="0" fillId="0" borderId="75" xfId="0" applyNumberFormat="1" applyBorder="1" applyAlignment="1">
      <alignment horizontal="center"/>
    </xf>
    <xf numFmtId="10" fontId="0" fillId="24" borderId="72" xfId="3" applyNumberFormat="1" applyFont="1" applyFill="1" applyBorder="1" applyAlignment="1">
      <alignment horizontal="center"/>
    </xf>
    <xf numFmtId="44" fontId="0" fillId="24" borderId="0" xfId="2" applyFont="1" applyFill="1" applyBorder="1" applyAlignment="1">
      <alignment horizontal="center"/>
    </xf>
    <xf numFmtId="165" fontId="0" fillId="0" borderId="75" xfId="2" applyNumberFormat="1" applyFont="1" applyBorder="1"/>
    <xf numFmtId="43" fontId="0" fillId="0" borderId="0" xfId="0" applyNumberFormat="1" applyBorder="1"/>
    <xf numFmtId="165" fontId="0" fillId="0" borderId="76" xfId="2" applyNumberFormat="1" applyFont="1" applyBorder="1"/>
    <xf numFmtId="165" fontId="0" fillId="0" borderId="69" xfId="2" applyNumberFormat="1" applyFont="1" applyBorder="1"/>
    <xf numFmtId="165" fontId="0" fillId="0" borderId="0" xfId="2" applyNumberFormat="1" applyFont="1" applyBorder="1"/>
    <xf numFmtId="165" fontId="0" fillId="0" borderId="0" xfId="0" applyNumberFormat="1" applyBorder="1"/>
    <xf numFmtId="165" fontId="0" fillId="0" borderId="71" xfId="0" applyNumberFormat="1" applyBorder="1"/>
    <xf numFmtId="165" fontId="0" fillId="0" borderId="77" xfId="0" applyNumberFormat="1" applyBorder="1"/>
    <xf numFmtId="165" fontId="0" fillId="0" borderId="75" xfId="0" applyNumberFormat="1" applyBorder="1"/>
    <xf numFmtId="0" fontId="61" fillId="27" borderId="59" xfId="12" applyFont="1" applyFill="1" applyBorder="1" applyAlignment="1">
      <alignment horizontal="center"/>
    </xf>
    <xf numFmtId="0" fontId="59" fillId="28" borderId="59" xfId="0" applyFont="1" applyFill="1" applyBorder="1"/>
    <xf numFmtId="0" fontId="59" fillId="28" borderId="0" xfId="0" applyFont="1" applyFill="1"/>
    <xf numFmtId="165" fontId="0" fillId="24" borderId="69" xfId="0" applyNumberFormat="1" applyFill="1" applyBorder="1"/>
    <xf numFmtId="166" fontId="0" fillId="24" borderId="73" xfId="3" applyNumberFormat="1" applyFont="1" applyFill="1" applyBorder="1"/>
    <xf numFmtId="0" fontId="70" fillId="0" borderId="49" xfId="0" applyFont="1" applyBorder="1" applyAlignment="1">
      <alignment horizontal="left"/>
    </xf>
    <xf numFmtId="165" fontId="30" fillId="0" borderId="78" xfId="2" applyNumberFormat="1" applyFont="1" applyBorder="1"/>
    <xf numFmtId="165" fontId="30" fillId="0" borderId="79" xfId="2" applyNumberFormat="1" applyFont="1" applyBorder="1"/>
    <xf numFmtId="165" fontId="30" fillId="24" borderId="79" xfId="0" applyNumberFormat="1" applyFont="1" applyFill="1" applyBorder="1"/>
    <xf numFmtId="166" fontId="30" fillId="24" borderId="80" xfId="3" applyNumberFormat="1" applyFont="1" applyFill="1" applyBorder="1" applyAlignment="1">
      <alignment horizontal="right"/>
    </xf>
    <xf numFmtId="44" fontId="30" fillId="0" borderId="78" xfId="2" applyFont="1" applyBorder="1"/>
    <xf numFmtId="166" fontId="30" fillId="24" borderId="50" xfId="3" applyNumberFormat="1" applyFont="1" applyFill="1" applyBorder="1" applyAlignment="1">
      <alignment horizontal="right"/>
    </xf>
    <xf numFmtId="44" fontId="0" fillId="26" borderId="0" xfId="0" applyNumberFormat="1" applyFill="1" applyBorder="1"/>
    <xf numFmtId="3" fontId="0" fillId="26" borderId="75" xfId="1" applyNumberFormat="1" applyFont="1" applyFill="1" applyBorder="1" applyAlignment="1">
      <alignment horizontal="center"/>
    </xf>
    <xf numFmtId="3" fontId="0" fillId="26" borderId="0" xfId="1" applyNumberFormat="1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72" fillId="0" borderId="0" xfId="0" applyFont="1"/>
    <xf numFmtId="10" fontId="63" fillId="0" borderId="0" xfId="3" applyNumberFormat="1" applyFont="1"/>
    <xf numFmtId="164" fontId="2" fillId="3" borderId="0" xfId="1" applyNumberFormat="1" applyFont="1" applyFill="1"/>
    <xf numFmtId="164" fontId="3" fillId="0" borderId="19" xfId="1" applyNumberFormat="1" applyFont="1" applyBorder="1"/>
    <xf numFmtId="164" fontId="10" fillId="2" borderId="3" xfId="1" applyNumberFormat="1" applyFont="1" applyFill="1" applyBorder="1" applyProtection="1">
      <protection locked="0"/>
    </xf>
    <xf numFmtId="166" fontId="53" fillId="3" borderId="0" xfId="3" applyNumberFormat="1" applyFont="1" applyFill="1" applyBorder="1" applyAlignment="1" applyProtection="1">
      <alignment horizontal="center"/>
      <protection locked="0"/>
    </xf>
    <xf numFmtId="165" fontId="13" fillId="3" borderId="0" xfId="0" applyNumberFormat="1" applyFont="1" applyFill="1" applyAlignment="1" applyProtection="1">
      <alignment horizontal="center"/>
      <protection locked="0"/>
    </xf>
    <xf numFmtId="0" fontId="29" fillId="0" borderId="8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4" fontId="10" fillId="0" borderId="7" xfId="2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44" fontId="2" fillId="0" borderId="0" xfId="2" applyFont="1" applyProtection="1">
      <protection locked="0"/>
    </xf>
    <xf numFmtId="43" fontId="10" fillId="0" borderId="0" xfId="1" applyNumberFormat="1" applyFont="1" applyBorder="1" applyProtection="1">
      <protection locked="0"/>
    </xf>
    <xf numFmtId="165" fontId="10" fillId="0" borderId="7" xfId="2" applyNumberFormat="1" applyFont="1" applyFill="1" applyBorder="1" applyProtection="1">
      <protection locked="0"/>
    </xf>
    <xf numFmtId="165" fontId="2" fillId="0" borderId="0" xfId="2" applyNumberFormat="1" applyFont="1" applyProtection="1">
      <protection locked="0"/>
    </xf>
    <xf numFmtId="0" fontId="10" fillId="0" borderId="0" xfId="0" applyFont="1" applyProtection="1">
      <protection locked="0"/>
    </xf>
    <xf numFmtId="44" fontId="10" fillId="0" borderId="0" xfId="2" applyFont="1" applyProtection="1">
      <protection locked="0"/>
    </xf>
    <xf numFmtId="44" fontId="9" fillId="0" borderId="7" xfId="2" applyFont="1" applyBorder="1" applyProtection="1">
      <protection locked="0"/>
    </xf>
    <xf numFmtId="166" fontId="2" fillId="0" borderId="0" xfId="3" applyNumberFormat="1" applyFont="1" applyBorder="1" applyProtection="1">
      <protection locked="0"/>
    </xf>
    <xf numFmtId="0" fontId="53" fillId="0" borderId="54" xfId="0" applyFont="1" applyBorder="1" applyProtection="1">
      <protection locked="0"/>
    </xf>
    <xf numFmtId="166" fontId="13" fillId="0" borderId="55" xfId="3" applyNumberFormat="1" applyFont="1" applyBorder="1" applyAlignment="1" applyProtection="1">
      <alignment horizontal="center"/>
      <protection locked="0"/>
    </xf>
    <xf numFmtId="44" fontId="2" fillId="0" borderId="0" xfId="2" applyFont="1" applyBorder="1" applyProtection="1">
      <protection locked="0"/>
    </xf>
    <xf numFmtId="44" fontId="10" fillId="0" borderId="0" xfId="0" applyNumberFormat="1" applyFont="1" applyBorder="1" applyProtection="1">
      <protection locked="0"/>
    </xf>
    <xf numFmtId="44" fontId="3" fillId="0" borderId="0" xfId="2" applyFont="1" applyProtection="1">
      <protection locked="0"/>
    </xf>
    <xf numFmtId="166" fontId="2" fillId="0" borderId="0" xfId="3" applyNumberFormat="1" applyFont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60" fillId="0" borderId="0" xfId="0" applyFont="1" applyProtection="1">
      <protection locked="0"/>
    </xf>
    <xf numFmtId="43" fontId="10" fillId="0" borderId="5" xfId="1" applyNumberFormat="1" applyFont="1" applyFill="1" applyBorder="1" applyProtection="1"/>
    <xf numFmtId="43" fontId="10" fillId="0" borderId="5" xfId="1" applyNumberFormat="1" applyFont="1" applyBorder="1" applyProtection="1"/>
    <xf numFmtId="9" fontId="10" fillId="0" borderId="5" xfId="3" applyFont="1" applyFill="1" applyBorder="1" applyProtection="1"/>
    <xf numFmtId="43" fontId="10" fillId="0" borderId="3" xfId="1" applyFont="1" applyBorder="1" applyProtection="1"/>
    <xf numFmtId="43" fontId="10" fillId="0" borderId="9" xfId="1" applyFont="1" applyBorder="1" applyProtection="1"/>
    <xf numFmtId="43" fontId="9" fillId="0" borderId="50" xfId="1" applyFont="1" applyBorder="1" applyProtection="1"/>
    <xf numFmtId="44" fontId="10" fillId="0" borderId="3" xfId="2" applyNumberFormat="1" applyFont="1" applyFill="1" applyBorder="1" applyProtection="1"/>
    <xf numFmtId="9" fontId="10" fillId="0" borderId="5" xfId="2" applyNumberFormat="1" applyFont="1" applyFill="1" applyBorder="1" applyProtection="1"/>
    <xf numFmtId="44" fontId="10" fillId="0" borderId="3" xfId="2" applyNumberFormat="1" applyFont="1" applyBorder="1" applyProtection="1"/>
    <xf numFmtId="165" fontId="10" fillId="5" borderId="9" xfId="2" applyNumberFormat="1" applyFont="1" applyFill="1" applyBorder="1" applyProtection="1"/>
    <xf numFmtId="10" fontId="10" fillId="0" borderId="3" xfId="2" applyNumberFormat="1" applyFont="1" applyFill="1" applyBorder="1" applyProtection="1"/>
    <xf numFmtId="165" fontId="10" fillId="5" borderId="7" xfId="0" applyNumberFormat="1" applyFont="1" applyFill="1" applyBorder="1" applyProtection="1"/>
    <xf numFmtId="165" fontId="9" fillId="5" borderId="86" xfId="0" applyNumberFormat="1" applyFont="1" applyFill="1" applyBorder="1" applyProtection="1"/>
    <xf numFmtId="165" fontId="4" fillId="5" borderId="7" xfId="0" applyNumberFormat="1" applyFont="1" applyFill="1" applyBorder="1" applyProtection="1"/>
    <xf numFmtId="165" fontId="13" fillId="0" borderId="82" xfId="2" applyNumberFormat="1" applyFont="1" applyFill="1" applyBorder="1" applyProtection="1"/>
    <xf numFmtId="165" fontId="13" fillId="0" borderId="84" xfId="2" applyNumberFormat="1" applyFont="1" applyFill="1" applyBorder="1" applyProtection="1"/>
    <xf numFmtId="165" fontId="53" fillId="4" borderId="5" xfId="2" applyNumberFormat="1" applyFont="1" applyFill="1" applyBorder="1" applyProtection="1"/>
    <xf numFmtId="165" fontId="14" fillId="7" borderId="7" xfId="2" applyNumberFormat="1" applyFont="1" applyFill="1" applyBorder="1" applyProtection="1"/>
    <xf numFmtId="165" fontId="77" fillId="22" borderId="7" xfId="2" applyNumberFormat="1" applyFont="1" applyFill="1" applyBorder="1" applyProtection="1"/>
    <xf numFmtId="165" fontId="13" fillId="0" borderId="0" xfId="0" applyNumberFormat="1" applyFont="1" applyAlignment="1" applyProtection="1">
      <alignment horizontal="center"/>
    </xf>
    <xf numFmtId="0" fontId="13" fillId="0" borderId="54" xfId="0" applyFont="1" applyBorder="1" applyProtection="1"/>
    <xf numFmtId="165" fontId="13" fillId="0" borderId="0" xfId="2" applyNumberFormat="1" applyFont="1" applyBorder="1" applyProtection="1"/>
    <xf numFmtId="165" fontId="13" fillId="0" borderId="55" xfId="2" applyNumberFormat="1" applyFont="1" applyBorder="1" applyProtection="1"/>
    <xf numFmtId="170" fontId="13" fillId="0" borderId="0" xfId="2" applyNumberFormat="1" applyFont="1" applyBorder="1" applyProtection="1"/>
    <xf numFmtId="0" fontId="13" fillId="0" borderId="55" xfId="0" applyFont="1" applyBorder="1" applyProtection="1"/>
    <xf numFmtId="0" fontId="13" fillId="0" borderId="56" xfId="0" applyFont="1" applyBorder="1" applyProtection="1"/>
    <xf numFmtId="165" fontId="13" fillId="0" borderId="57" xfId="2" applyNumberFormat="1" applyFont="1" applyBorder="1" applyProtection="1"/>
    <xf numFmtId="165" fontId="53" fillId="23" borderId="58" xfId="2" applyNumberFormat="1" applyFont="1" applyFill="1" applyBorder="1" applyProtection="1"/>
    <xf numFmtId="0" fontId="13" fillId="0" borderId="51" xfId="0" applyFont="1" applyBorder="1" applyAlignment="1" applyProtection="1">
      <alignment horizontal="center"/>
    </xf>
    <xf numFmtId="0" fontId="58" fillId="0" borderId="54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55" xfId="0" applyFont="1" applyBorder="1" applyAlignment="1" applyProtection="1">
      <alignment horizontal="center"/>
    </xf>
    <xf numFmtId="165" fontId="13" fillId="0" borderId="18" xfId="0" applyNumberFormat="1" applyFont="1" applyBorder="1" applyAlignment="1" applyProtection="1">
      <alignment horizontal="center"/>
    </xf>
    <xf numFmtId="0" fontId="60" fillId="0" borderId="0" xfId="0" applyFont="1" applyProtection="1"/>
    <xf numFmtId="0" fontId="2" fillId="0" borderId="0" xfId="0" applyFont="1" applyProtection="1"/>
    <xf numFmtId="0" fontId="12" fillId="0" borderId="81" xfId="0" applyFont="1" applyFill="1" applyBorder="1" applyAlignment="1" applyProtection="1">
      <alignment horizontal="left"/>
    </xf>
    <xf numFmtId="0" fontId="12" fillId="0" borderId="83" xfId="0" applyFont="1" applyFill="1" applyBorder="1" applyAlignment="1" applyProtection="1">
      <alignment horizontal="left"/>
    </xf>
    <xf numFmtId="0" fontId="11" fillId="4" borderId="36" xfId="0" applyFont="1" applyFill="1" applyBorder="1" applyAlignment="1" applyProtection="1">
      <alignment horizontal="left"/>
    </xf>
    <xf numFmtId="0" fontId="16" fillId="7" borderId="10" xfId="0" applyFont="1" applyFill="1" applyBorder="1" applyAlignment="1" applyProtection="1">
      <alignment horizontal="left"/>
    </xf>
    <xf numFmtId="0" fontId="76" fillId="22" borderId="1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13" fillId="0" borderId="1" xfId="0" applyFont="1" applyBorder="1" applyAlignment="1" applyProtection="1">
      <alignment horizontal="center"/>
    </xf>
    <xf numFmtId="0" fontId="13" fillId="0" borderId="0" xfId="0" applyFont="1" applyProtection="1"/>
    <xf numFmtId="0" fontId="13" fillId="0" borderId="18" xfId="0" applyFont="1" applyBorder="1" applyProtection="1"/>
    <xf numFmtId="0" fontId="11" fillId="5" borderId="10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10" fillId="0" borderId="2" xfId="0" applyFont="1" applyBorder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8" xfId="0" applyFont="1" applyBorder="1" applyProtection="1"/>
    <xf numFmtId="0" fontId="10" fillId="0" borderId="0" xfId="0" applyFont="1" applyProtection="1"/>
    <xf numFmtId="0" fontId="9" fillId="0" borderId="49" xfId="0" applyFont="1" applyBorder="1" applyProtection="1"/>
    <xf numFmtId="0" fontId="9" fillId="0" borderId="6" xfId="0" applyFont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left"/>
    </xf>
    <xf numFmtId="0" fontId="10" fillId="5" borderId="6" xfId="0" applyFont="1" applyFill="1" applyBorder="1" applyAlignment="1" applyProtection="1">
      <alignment horizontal="left"/>
    </xf>
    <xf numFmtId="0" fontId="10" fillId="0" borderId="0" xfId="0" applyFont="1" applyFill="1" applyBorder="1" applyProtection="1"/>
    <xf numFmtId="0" fontId="9" fillId="5" borderId="85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</xf>
    <xf numFmtId="43" fontId="2" fillId="0" borderId="0" xfId="0" applyNumberFormat="1" applyFont="1" applyProtection="1">
      <protection locked="0"/>
    </xf>
    <xf numFmtId="0" fontId="13" fillId="0" borderId="52" xfId="0" applyFont="1" applyBorder="1" applyAlignment="1" applyProtection="1">
      <alignment horizontal="center"/>
    </xf>
    <xf numFmtId="0" fontId="13" fillId="0" borderId="53" xfId="0" applyFont="1" applyBorder="1" applyAlignment="1" applyProtection="1">
      <alignment horizontal="center"/>
    </xf>
    <xf numFmtId="0" fontId="8" fillId="3" borderId="35" xfId="0" applyFont="1" applyFill="1" applyBorder="1" applyAlignment="1" applyProtection="1">
      <alignment horizontal="right" vertical="center"/>
    </xf>
    <xf numFmtId="0" fontId="8" fillId="3" borderId="13" xfId="0" applyFont="1" applyFill="1" applyBorder="1" applyAlignment="1" applyProtection="1">
      <alignment horizontal="right" vertical="center"/>
    </xf>
    <xf numFmtId="0" fontId="75" fillId="0" borderId="1" xfId="0" applyFont="1" applyBorder="1" applyAlignment="1" applyProtection="1">
      <alignment horizontal="center"/>
    </xf>
    <xf numFmtId="0" fontId="69" fillId="0" borderId="4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2" xfId="0" applyBorder="1" applyAlignment="1">
      <alignment horizontal="center"/>
    </xf>
    <xf numFmtId="0" fontId="69" fillId="0" borderId="69" xfId="0" applyFont="1" applyFill="1" applyBorder="1" applyAlignment="1">
      <alignment horizontal="center"/>
    </xf>
    <xf numFmtId="0" fontId="69" fillId="0" borderId="73" xfId="0" applyFont="1" applyFill="1" applyBorder="1" applyAlignment="1">
      <alignment horizontal="center"/>
    </xf>
    <xf numFmtId="0" fontId="37" fillId="0" borderId="25" xfId="9" applyFont="1" applyFill="1" applyBorder="1" applyAlignment="1">
      <alignment horizontal="center"/>
    </xf>
    <xf numFmtId="0" fontId="31" fillId="0" borderId="25" xfId="9" applyFont="1" applyFill="1" applyBorder="1" applyAlignment="1">
      <alignment horizontal="center"/>
    </xf>
    <xf numFmtId="3" fontId="31" fillId="0" borderId="12" xfId="8" applyNumberFormat="1" applyFont="1" applyFill="1" applyBorder="1" applyAlignment="1">
      <alignment horizontal="center" wrapText="1"/>
    </xf>
    <xf numFmtId="3" fontId="31" fillId="0" borderId="12" xfId="9" applyNumberFormat="1" applyFont="1" applyFill="1" applyBorder="1" applyAlignment="1">
      <alignment horizontal="center" wrapText="1"/>
    </xf>
    <xf numFmtId="168" fontId="55" fillId="21" borderId="63" xfId="0" applyNumberFormat="1" applyFont="1" applyFill="1" applyBorder="1" applyAlignment="1">
      <alignment horizontal="center"/>
    </xf>
    <xf numFmtId="168" fontId="55" fillId="3" borderId="63" xfId="0" applyNumberFormat="1" applyFont="1" applyFill="1" applyBorder="1" applyAlignment="1">
      <alignment horizontal="center"/>
    </xf>
    <xf numFmtId="168" fontId="55" fillId="15" borderId="63" xfId="0" applyNumberFormat="1" applyFont="1" applyFill="1" applyBorder="1" applyAlignment="1">
      <alignment horizontal="center"/>
    </xf>
  </cellXfs>
  <cellStyles count="14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14" xfId="10" xr:uid="{1862F376-B224-4B40-B226-00B6638D105C}"/>
    <cellStyle name="Normal 2" xfId="4" xr:uid="{00000000-0005-0000-0000-000005000000}"/>
    <cellStyle name="Normal 2 2" xfId="7" xr:uid="{00000000-0005-0000-0000-000001000000}"/>
    <cellStyle name="Normal 2 3" xfId="9" xr:uid="{35A212B9-6B32-4522-A434-5B62762F88C4}"/>
    <cellStyle name="Normal 3" xfId="8" xr:uid="{3649E2E0-5C72-4D5D-99B2-CC378650735E}"/>
    <cellStyle name="Normal_Sheet1" xfId="6" xr:uid="{00000000-0005-0000-0000-000002000000}"/>
    <cellStyle name="Normal_Sheet1 2" xfId="13" xr:uid="{41535A6A-5A47-4D01-B9BE-40DAB4859111}"/>
    <cellStyle name="Normal_Sheet1_1" xfId="12" xr:uid="{B1D0B362-CF4F-4C48-8AC0-5F682D513051}"/>
    <cellStyle name="Percent" xfId="3" builtinId="5"/>
    <cellStyle name="Percent 2" xfId="11" xr:uid="{815D0620-3029-4AB2-B22C-548012BE0EB0}"/>
  </cellStyles>
  <dxfs count="0"/>
  <tableStyles count="0" defaultTableStyle="TableStyleMedium2" defaultPivotStyle="PivotStyleLight16"/>
  <colors>
    <mruColors>
      <color rgb="FFFFFFCC"/>
      <color rgb="FFFCD6B6"/>
      <color rgb="FFB4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6</xdr:row>
      <xdr:rowOff>185209</xdr:rowOff>
    </xdr:from>
    <xdr:to>
      <xdr:col>3</xdr:col>
      <xdr:colOff>2435490</xdr:colOff>
      <xdr:row>8</xdr:row>
      <xdr:rowOff>161396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76875" y="2804584"/>
          <a:ext cx="2518834" cy="45243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Enter estimated count of students:</a:t>
          </a:r>
          <a:r>
            <a:rPr lang="en-US" sz="1100" b="1" baseline="0">
              <a:solidFill>
                <a:schemeClr val="bg1"/>
              </a:solidFill>
            </a:rPr>
            <a:t>  State Aid Fall Enrollment </a:t>
          </a:r>
          <a:r>
            <a:rPr lang="en-US" sz="1200" b="1" u="sng" baseline="0">
              <a:solidFill>
                <a:schemeClr val="bg1"/>
              </a:solidFill>
            </a:rPr>
            <a:t>2019</a:t>
          </a:r>
          <a:endParaRPr lang="en-US" sz="1200" b="1" u="sng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616745</xdr:colOff>
      <xdr:row>11</xdr:row>
      <xdr:rowOff>50007</xdr:rowOff>
    </xdr:from>
    <xdr:to>
      <xdr:col>3</xdr:col>
      <xdr:colOff>4313238</xdr:colOff>
      <xdr:row>14</xdr:row>
      <xdr:rowOff>17461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474495" y="3681413"/>
          <a:ext cx="4398962" cy="503236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Projected</a:t>
          </a:r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100" b="1">
              <a:solidFill>
                <a:schemeClr val="bg1"/>
              </a:solidFill>
            </a:rPr>
            <a:t>Count of LEP students scoring</a:t>
          </a:r>
          <a:r>
            <a:rPr lang="en-US" sz="1100" b="1" baseline="0">
              <a:solidFill>
                <a:schemeClr val="bg1"/>
              </a:solidFill>
            </a:rPr>
            <a:t> (composite) less than 4.0 on Language Acquisition Assessment </a:t>
          </a:r>
          <a:r>
            <a:rPr lang="en-US" sz="1200" b="1" u="sng" baseline="0">
              <a:solidFill>
                <a:schemeClr val="bg1"/>
              </a:solidFill>
            </a:rPr>
            <a:t>(taken 2/2019)</a:t>
          </a: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158090</xdr:colOff>
      <xdr:row>11</xdr:row>
      <xdr:rowOff>147504</xdr:rowOff>
    </xdr:from>
    <xdr:to>
      <xdr:col>2</xdr:col>
      <xdr:colOff>508133</xdr:colOff>
      <xdr:row>13</xdr:row>
      <xdr:rowOff>108875</xdr:rowOff>
    </xdr:to>
    <xdr:sp macro="" textlink="">
      <xdr:nvSpPr>
        <xdr:cNvPr id="10" name="Down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5031582" y="3763168"/>
          <a:ext cx="318559" cy="350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190500</xdr:colOff>
      <xdr:row>6</xdr:row>
      <xdr:rowOff>261938</xdr:rowOff>
    </xdr:from>
    <xdr:to>
      <xdr:col>2</xdr:col>
      <xdr:colOff>540543</xdr:colOff>
      <xdr:row>8</xdr:row>
      <xdr:rowOff>104247</xdr:rowOff>
    </xdr:to>
    <xdr:sp macro="" textlink="">
      <xdr:nvSpPr>
        <xdr:cNvPr id="11" name="Down Arrow 9">
          <a:extLst>
            <a:ext uri="{FF2B5EF4-FFF2-40B4-BE49-F238E27FC236}">
              <a16:creationId xmlns:a16="http://schemas.microsoft.com/office/drawing/2014/main" id="{0A65E463-1A7F-4D36-8DB7-BF7193A12AD8}"/>
            </a:ext>
          </a:extLst>
        </xdr:cNvPr>
        <xdr:cNvSpPr/>
      </xdr:nvSpPr>
      <xdr:spPr>
        <a:xfrm rot="5400000">
          <a:off x="5063992" y="2865571"/>
          <a:ext cx="318559" cy="350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59531</xdr:colOff>
      <xdr:row>19</xdr:row>
      <xdr:rowOff>261940</xdr:rowOff>
    </xdr:from>
    <xdr:to>
      <xdr:col>2</xdr:col>
      <xdr:colOff>409574</xdr:colOff>
      <xdr:row>21</xdr:row>
      <xdr:rowOff>80436</xdr:rowOff>
    </xdr:to>
    <xdr:sp macro="" textlink="">
      <xdr:nvSpPr>
        <xdr:cNvPr id="6" name="Down Arrow 9">
          <a:extLst>
            <a:ext uri="{FF2B5EF4-FFF2-40B4-BE49-F238E27FC236}">
              <a16:creationId xmlns:a16="http://schemas.microsoft.com/office/drawing/2014/main" id="{B7A2C85F-48A1-4142-855B-C7DCCA34D2F7}"/>
            </a:ext>
          </a:extLst>
        </xdr:cNvPr>
        <xdr:cNvSpPr/>
      </xdr:nvSpPr>
      <xdr:spPr>
        <a:xfrm rot="5400000">
          <a:off x="5171149" y="5353979"/>
          <a:ext cx="389996" cy="350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95251</xdr:rowOff>
    </xdr:from>
    <xdr:to>
      <xdr:col>3</xdr:col>
      <xdr:colOff>2714624</xdr:colOff>
      <xdr:row>21</xdr:row>
      <xdr:rowOff>250032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D67C1D8-0BC4-4AA6-B6C3-4AF9AB3C7190}"/>
            </a:ext>
          </a:extLst>
        </xdr:cNvPr>
        <xdr:cNvSpPr txBox="1"/>
      </xdr:nvSpPr>
      <xdr:spPr>
        <a:xfrm>
          <a:off x="7667625" y="4953001"/>
          <a:ext cx="2714624" cy="94059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Target Instructional Staff Salary for FY2020</a:t>
          </a:r>
        </a:p>
        <a:p>
          <a:r>
            <a:rPr lang="en-US" sz="1100" b="1" u="sng" baseline="0">
              <a:solidFill>
                <a:schemeClr val="bg1"/>
              </a:solidFill>
            </a:rPr>
            <a:t>*DO NOT CHANGE*</a:t>
          </a:r>
          <a:endParaRPr lang="en-US" sz="1200" b="1" u="sng" baseline="0">
            <a:solidFill>
              <a:schemeClr val="bg1"/>
            </a:solidFill>
          </a:endParaRP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107157</xdr:colOff>
      <xdr:row>25</xdr:row>
      <xdr:rowOff>238126</xdr:rowOff>
    </xdr:from>
    <xdr:to>
      <xdr:col>8</xdr:col>
      <xdr:colOff>457200</xdr:colOff>
      <xdr:row>27</xdr:row>
      <xdr:rowOff>56622</xdr:rowOff>
    </xdr:to>
    <xdr:sp macro="" textlink="">
      <xdr:nvSpPr>
        <xdr:cNvPr id="15" name="Down Arrow 9">
          <a:extLst>
            <a:ext uri="{FF2B5EF4-FFF2-40B4-BE49-F238E27FC236}">
              <a16:creationId xmlns:a16="http://schemas.microsoft.com/office/drawing/2014/main" id="{76E8629A-172F-4419-8C2C-B90D4CAA7918}"/>
            </a:ext>
          </a:extLst>
        </xdr:cNvPr>
        <xdr:cNvSpPr/>
      </xdr:nvSpPr>
      <xdr:spPr>
        <a:xfrm rot="5400000">
          <a:off x="22042306" y="7044665"/>
          <a:ext cx="389996" cy="3500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547687</xdr:colOff>
      <xdr:row>25</xdr:row>
      <xdr:rowOff>166687</xdr:rowOff>
    </xdr:from>
    <xdr:to>
      <xdr:col>9</xdr:col>
      <xdr:colOff>523875</xdr:colOff>
      <xdr:row>34</xdr:row>
      <xdr:rowOff>23812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3E07DA2-187C-4CAC-BB78-3C2589A08D3D}"/>
            </a:ext>
          </a:extLst>
        </xdr:cNvPr>
        <xdr:cNvSpPr txBox="1"/>
      </xdr:nvSpPr>
      <xdr:spPr>
        <a:xfrm>
          <a:off x="17966531" y="6953250"/>
          <a:ext cx="1273969" cy="2476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none" baseline="0">
              <a:solidFill>
                <a:schemeClr val="bg1"/>
              </a:solidFill>
            </a:rPr>
            <a:t>School Districts need to enter their district's projected taxable valuation growth for Pay 2020.   Consider visiting with County Auditor.</a:t>
          </a:r>
        </a:p>
        <a:p>
          <a:endParaRPr lang="en-US" sz="1100" b="1" u="none" baseline="0">
            <a:solidFill>
              <a:schemeClr val="bg1"/>
            </a:solidFill>
          </a:endParaRPr>
        </a:p>
        <a:p>
          <a:r>
            <a:rPr lang="en-US" sz="1100" b="1" u="none" baseline="0">
              <a:solidFill>
                <a:schemeClr val="bg1"/>
              </a:solidFill>
            </a:rPr>
            <a:t>Rest of table auto-calculates</a:t>
          </a:r>
        </a:p>
        <a:p>
          <a:endParaRPr lang="en-US" sz="1200" b="1" u="sng" baseline="0">
            <a:solidFill>
              <a:schemeClr val="bg1"/>
            </a:solidFill>
          </a:endParaRP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 b="1" baseline="0">
            <a:solidFill>
              <a:schemeClr val="bg1"/>
            </a:solidFill>
          </a:endParaRPr>
        </a:p>
        <a:p>
          <a:endParaRPr lang="en-US" sz="1100"/>
        </a:p>
      </xdr:txBody>
    </xdr:sp>
    <xdr:clientData/>
  </xdr:twoCellAnchor>
  <xdr:twoCellAnchor editAs="oneCell">
    <xdr:from>
      <xdr:col>6</xdr:col>
      <xdr:colOff>1132417</xdr:colOff>
      <xdr:row>0</xdr:row>
      <xdr:rowOff>211667</xdr:rowOff>
    </xdr:from>
    <xdr:to>
      <xdr:col>9</xdr:col>
      <xdr:colOff>460596</xdr:colOff>
      <xdr:row>2</xdr:row>
      <xdr:rowOff>106239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BE51A79-9E30-47CE-AC85-984C7BE9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2084" y="211667"/>
          <a:ext cx="3265179" cy="804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337983</xdr:colOff>
      <xdr:row>0</xdr:row>
      <xdr:rowOff>71693</xdr:rowOff>
    </xdr:from>
    <xdr:ext cx="2189777" cy="539694"/>
    <xdr:pic>
      <xdr:nvPicPr>
        <xdr:cNvPr id="2" name="Picture 1">
          <a:extLst>
            <a:ext uri="{FF2B5EF4-FFF2-40B4-BE49-F238E27FC236}">
              <a16:creationId xmlns:a16="http://schemas.microsoft.com/office/drawing/2014/main" id="{5BE0C3E1-7B00-48D3-AAED-E0CB8071C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6531" y="71693"/>
          <a:ext cx="2189777" cy="5396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714375</xdr:colOff>
      <xdr:row>1</xdr:row>
      <xdr:rowOff>28575</xdr:rowOff>
    </xdr:from>
    <xdr:to>
      <xdr:col>22</xdr:col>
      <xdr:colOff>614949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95C0B5-28CC-494E-BB9D-7F93C3D1F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21550" y="285750"/>
          <a:ext cx="1938924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581025</xdr:colOff>
      <xdr:row>0</xdr:row>
      <xdr:rowOff>57150</xdr:rowOff>
    </xdr:from>
    <xdr:ext cx="2169804" cy="534772"/>
    <xdr:pic>
      <xdr:nvPicPr>
        <xdr:cNvPr id="2" name="Picture 1">
          <a:extLst>
            <a:ext uri="{FF2B5EF4-FFF2-40B4-BE49-F238E27FC236}">
              <a16:creationId xmlns:a16="http://schemas.microsoft.com/office/drawing/2014/main" id="{5C0080EC-A787-4209-9014-807F6F16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57150"/>
          <a:ext cx="2169804" cy="53477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</xdr:colOff>
      <xdr:row>0</xdr:row>
      <xdr:rowOff>76201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031A891A-1916-4C97-B19B-45311B608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1" y="76201"/>
          <a:ext cx="2105024" cy="51880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0</xdr:row>
      <xdr:rowOff>57151</xdr:rowOff>
    </xdr:from>
    <xdr:ext cx="2198378" cy="541814"/>
    <xdr:pic>
      <xdr:nvPicPr>
        <xdr:cNvPr id="2" name="Picture 1">
          <a:extLst>
            <a:ext uri="{FF2B5EF4-FFF2-40B4-BE49-F238E27FC236}">
              <a16:creationId xmlns:a16="http://schemas.microsoft.com/office/drawing/2014/main" id="{06C423A5-EDC2-4F77-BAF9-A5148F0C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57151"/>
          <a:ext cx="2198378" cy="5418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J53"/>
  <sheetViews>
    <sheetView showGridLines="0" tabSelected="1" zoomScale="90" zoomScaleNormal="90" zoomScalePageLayoutView="90" workbookViewId="0">
      <pane ySplit="5" topLeftCell="A6" activePane="bottomLeft" state="frozen"/>
      <selection pane="bottomLeft" activeCell="A5" sqref="A5"/>
    </sheetView>
  </sheetViews>
  <sheetFormatPr defaultColWidth="8.85546875" defaultRowHeight="14.25" x14ac:dyDescent="0.25"/>
  <cols>
    <col min="1" max="1" width="78.5703125" style="432" customWidth="1"/>
    <col min="2" max="2" width="29.85546875" style="435" customWidth="1"/>
    <col min="3" max="3" width="6.5703125" style="432" customWidth="1"/>
    <col min="4" max="4" width="63.85546875" style="432" customWidth="1"/>
    <col min="5" max="5" width="22.42578125" style="438" customWidth="1"/>
    <col min="6" max="6" width="19.140625" style="432" bestFit="1" customWidth="1"/>
    <col min="7" max="7" width="20.28515625" style="432" customWidth="1"/>
    <col min="8" max="9" width="19.42578125" style="432" bestFit="1" customWidth="1"/>
    <col min="10" max="10" width="8.42578125" style="432" customWidth="1"/>
    <col min="11" max="11" width="19.7109375" style="432" bestFit="1" customWidth="1"/>
    <col min="12" max="12" width="52.7109375" style="432" customWidth="1"/>
    <col min="13" max="16384" width="8.85546875" style="432"/>
  </cols>
  <sheetData>
    <row r="1" spans="1:8" s="426" customFormat="1" ht="36" x14ac:dyDescent="0.25">
      <c r="A1" s="510" t="s">
        <v>589</v>
      </c>
      <c r="B1" s="509"/>
      <c r="C1" s="509"/>
      <c r="D1" s="509"/>
      <c r="E1" s="509"/>
    </row>
    <row r="2" spans="1:8" s="426" customFormat="1" ht="36" x14ac:dyDescent="0.25">
      <c r="A2" s="510" t="s">
        <v>590</v>
      </c>
      <c r="B2" s="509"/>
      <c r="C2" s="509"/>
      <c r="D2" s="509"/>
      <c r="E2" s="509"/>
    </row>
    <row r="3" spans="1:8" s="426" customFormat="1" ht="17.25" customHeight="1" x14ac:dyDescent="0.25">
      <c r="A3" s="508" t="s">
        <v>599</v>
      </c>
      <c r="B3" s="427"/>
      <c r="C3" s="428"/>
      <c r="D3" s="429"/>
      <c r="E3" s="430"/>
    </row>
    <row r="4" spans="1:8" s="426" customFormat="1" ht="15" thickBot="1" x14ac:dyDescent="0.3">
      <c r="A4" s="429"/>
      <c r="B4" s="431"/>
      <c r="C4" s="429"/>
      <c r="D4" s="429"/>
      <c r="E4" s="430"/>
    </row>
    <row r="5" spans="1:8" ht="42.75" customHeight="1" thickTop="1" thickBot="1" x14ac:dyDescent="0.3">
      <c r="A5" s="425" t="s">
        <v>198</v>
      </c>
      <c r="B5" s="432"/>
      <c r="E5" s="432"/>
    </row>
    <row r="6" spans="1:8" ht="18" customHeight="1" thickTop="1" x14ac:dyDescent="0.25">
      <c r="B6" s="432"/>
      <c r="E6" s="432"/>
      <c r="H6" s="432" t="s">
        <v>187</v>
      </c>
    </row>
    <row r="7" spans="1:8" ht="23.25" customHeight="1" x14ac:dyDescent="0.3">
      <c r="A7" s="496" t="s">
        <v>6</v>
      </c>
      <c r="B7" s="433"/>
      <c r="E7" s="432"/>
    </row>
    <row r="8" spans="1:8" ht="16.5" x14ac:dyDescent="0.3">
      <c r="A8" s="497" t="s">
        <v>353</v>
      </c>
      <c r="B8" s="422"/>
      <c r="C8" s="434"/>
      <c r="E8" s="432"/>
      <c r="H8" s="435"/>
    </row>
    <row r="9" spans="1:8" ht="16.5" x14ac:dyDescent="0.3">
      <c r="A9" s="498" t="s">
        <v>11</v>
      </c>
      <c r="B9" s="451">
        <f>IF($B$8&lt;200,12,IF($B$8&gt;600,15,($B$8*0.0075)+10.5))</f>
        <v>12</v>
      </c>
      <c r="C9" s="434"/>
      <c r="E9" s="432"/>
      <c r="H9" s="435"/>
    </row>
    <row r="10" spans="1:8" ht="16.5" x14ac:dyDescent="0.3">
      <c r="A10" s="498" t="s">
        <v>7</v>
      </c>
      <c r="B10" s="452">
        <f>B8/B9</f>
        <v>0</v>
      </c>
      <c r="C10" s="434"/>
      <c r="E10" s="432"/>
    </row>
    <row r="11" spans="1:8" ht="16.5" x14ac:dyDescent="0.3">
      <c r="A11" s="499"/>
      <c r="B11" s="436"/>
      <c r="C11" s="434"/>
      <c r="E11" s="432"/>
    </row>
    <row r="12" spans="1:8" ht="16.5" x14ac:dyDescent="0.3">
      <c r="A12" s="496" t="s">
        <v>2</v>
      </c>
      <c r="B12" s="437"/>
      <c r="C12" s="434"/>
    </row>
    <row r="13" spans="1:8" ht="16.5" x14ac:dyDescent="0.3">
      <c r="A13" s="497" t="s">
        <v>586</v>
      </c>
      <c r="B13" s="422"/>
      <c r="C13" s="434"/>
    </row>
    <row r="14" spans="1:8" ht="16.5" x14ac:dyDescent="0.3">
      <c r="A14" s="498" t="s">
        <v>1</v>
      </c>
      <c r="B14" s="453">
        <v>0.25</v>
      </c>
      <c r="C14" s="434"/>
    </row>
    <row r="15" spans="1:8" ht="16.5" x14ac:dyDescent="0.3">
      <c r="A15" s="497" t="s">
        <v>3</v>
      </c>
      <c r="B15" s="454">
        <f>IF(B13=0,0,B13*B14)</f>
        <v>0</v>
      </c>
      <c r="C15" s="434"/>
      <c r="H15" s="511"/>
    </row>
    <row r="16" spans="1:8" ht="17.25" thickBot="1" x14ac:dyDescent="0.35">
      <c r="A16" s="500" t="s">
        <v>4</v>
      </c>
      <c r="B16" s="455">
        <f>B15/B9</f>
        <v>0</v>
      </c>
      <c r="C16" s="434"/>
    </row>
    <row r="17" spans="1:10" ht="18" thickTop="1" thickBot="1" x14ac:dyDescent="0.35">
      <c r="A17" s="501"/>
      <c r="B17" s="440"/>
      <c r="C17" s="434"/>
      <c r="E17" s="432"/>
    </row>
    <row r="18" spans="1:10" ht="30.75" customHeight="1" thickTop="1" thickBot="1" x14ac:dyDescent="0.35">
      <c r="A18" s="502" t="s">
        <v>503</v>
      </c>
      <c r="B18" s="456">
        <f>B10+B16</f>
        <v>0</v>
      </c>
      <c r="C18" s="434"/>
      <c r="E18" s="432"/>
    </row>
    <row r="19" spans="1:10" ht="17.25" thickTop="1" x14ac:dyDescent="0.3">
      <c r="A19" s="501"/>
      <c r="B19" s="440"/>
      <c r="C19" s="434"/>
      <c r="E19" s="432"/>
    </row>
    <row r="20" spans="1:10" ht="22.5" customHeight="1" x14ac:dyDescent="0.3">
      <c r="A20" s="503" t="s">
        <v>8</v>
      </c>
      <c r="B20" s="441"/>
      <c r="C20" s="434"/>
      <c r="E20" s="432"/>
    </row>
    <row r="21" spans="1:10" ht="22.5" customHeight="1" x14ac:dyDescent="0.3">
      <c r="A21" s="497" t="s">
        <v>15</v>
      </c>
      <c r="B21" s="457">
        <v>50360.26</v>
      </c>
      <c r="C21" s="434"/>
      <c r="E21" s="432"/>
    </row>
    <row r="22" spans="1:10" ht="22.5" customHeight="1" x14ac:dyDescent="0.3">
      <c r="A22" s="498" t="s">
        <v>12</v>
      </c>
      <c r="B22" s="458">
        <v>0.28999999999999998</v>
      </c>
      <c r="C22" s="434"/>
      <c r="E22" s="432"/>
    </row>
    <row r="23" spans="1:10" ht="22.5" customHeight="1" thickBot="1" x14ac:dyDescent="0.35">
      <c r="A23" s="497" t="s">
        <v>9</v>
      </c>
      <c r="B23" s="459">
        <f>B21*(1+B22)</f>
        <v>64964.735400000005</v>
      </c>
      <c r="C23" s="434"/>
    </row>
    <row r="24" spans="1:10" ht="22.5" customHeight="1" thickTop="1" thickBot="1" x14ac:dyDescent="0.35">
      <c r="A24" s="504" t="s">
        <v>10</v>
      </c>
      <c r="B24" s="460">
        <f>B23*B18</f>
        <v>0</v>
      </c>
      <c r="C24" s="434"/>
      <c r="D24" s="479" t="s">
        <v>433</v>
      </c>
      <c r="E24" s="512" t="s">
        <v>432</v>
      </c>
      <c r="F24" s="512"/>
      <c r="G24" s="512"/>
      <c r="H24" s="513"/>
    </row>
    <row r="25" spans="1:10" ht="22.5" customHeight="1" thickTop="1" x14ac:dyDescent="0.3">
      <c r="A25" s="501"/>
      <c r="B25" s="440"/>
      <c r="C25" s="434"/>
      <c r="D25" s="480" t="str">
        <f>A5</f>
        <v>Aberdeen 06-1</v>
      </c>
      <c r="E25" s="481" t="s">
        <v>428</v>
      </c>
      <c r="F25" s="481" t="s">
        <v>584</v>
      </c>
      <c r="G25" s="481" t="s">
        <v>429</v>
      </c>
      <c r="H25" s="482" t="s">
        <v>486</v>
      </c>
    </row>
    <row r="26" spans="1:10" ht="22.5" customHeight="1" x14ac:dyDescent="0.3">
      <c r="A26" s="503" t="s">
        <v>5</v>
      </c>
      <c r="B26" s="441"/>
      <c r="C26" s="434"/>
      <c r="D26" s="471" t="s">
        <v>593</v>
      </c>
      <c r="E26" s="472">
        <f>INDEX('Pay 2019 Valuations'!$U$4:$U$152,MATCH('1. Est. Gen State Aid Calc'!$D$25,'Pay 2019 Valuations'!$B$4:$B$152,0))</f>
        <v>364250616</v>
      </c>
      <c r="F26" s="472">
        <f>INDEX('Pay 2019 Valuations'!$V$4:$V$152,MATCH('1. Est. Gen State Aid Calc'!$D$25,'Pay 2019 Valuations'!$B$4:$B$152,0))</f>
        <v>1330809700</v>
      </c>
      <c r="G26" s="472">
        <f>INDEX('Pay 2019 Valuations'!$W$4:$W$152,MATCH('1. Est. Gen State Aid Calc'!$D$25,'Pay 2019 Valuations'!$B$4:$B$152,0))</f>
        <v>705098060</v>
      </c>
      <c r="H26" s="473">
        <f>SUM(E26:G26)</f>
        <v>2400158376</v>
      </c>
    </row>
    <row r="27" spans="1:10" ht="22.5" customHeight="1" x14ac:dyDescent="0.3">
      <c r="A27" s="497" t="s">
        <v>596</v>
      </c>
      <c r="B27" s="461">
        <v>0.3306</v>
      </c>
      <c r="C27" s="442"/>
      <c r="D27" s="443" t="s">
        <v>548</v>
      </c>
      <c r="E27" s="423">
        <v>0</v>
      </c>
      <c r="F27" s="423">
        <v>0</v>
      </c>
      <c r="G27" s="423">
        <v>0</v>
      </c>
      <c r="H27" s="444"/>
    </row>
    <row r="28" spans="1:10" ht="22.5" customHeight="1" x14ac:dyDescent="0.3">
      <c r="A28" s="505" t="s">
        <v>0</v>
      </c>
      <c r="B28" s="462">
        <f>B24*B27</f>
        <v>0</v>
      </c>
      <c r="C28" s="445"/>
      <c r="D28" s="471" t="s">
        <v>505</v>
      </c>
      <c r="E28" s="472">
        <f>ROUND(E26*(1+E27),0)</f>
        <v>364250616</v>
      </c>
      <c r="F28" s="472">
        <f t="shared" ref="F28:G28" si="0">ROUND(F26*(1+F27),0)</f>
        <v>1330809700</v>
      </c>
      <c r="G28" s="472">
        <f t="shared" si="0"/>
        <v>705098060</v>
      </c>
      <c r="H28" s="473">
        <f>SUM(E28:G28)</f>
        <v>2400158376</v>
      </c>
    </row>
    <row r="29" spans="1:10" ht="22.5" customHeight="1" thickBot="1" x14ac:dyDescent="0.35">
      <c r="A29" s="506"/>
      <c r="B29" s="446"/>
      <c r="C29" s="434"/>
      <c r="D29" s="471" t="s">
        <v>594</v>
      </c>
      <c r="E29" s="474">
        <v>1.4730000000000001</v>
      </c>
      <c r="F29" s="474">
        <v>3.2959999999999998</v>
      </c>
      <c r="G29" s="474">
        <v>6.8209999999999997</v>
      </c>
      <c r="H29" s="475"/>
    </row>
    <row r="30" spans="1:10" ht="38.25" customHeight="1" thickTop="1" thickBot="1" x14ac:dyDescent="0.35">
      <c r="A30" s="507" t="s">
        <v>585</v>
      </c>
      <c r="B30" s="463">
        <f>B24+B28</f>
        <v>0</v>
      </c>
      <c r="C30" s="439"/>
      <c r="D30" s="476" t="s">
        <v>431</v>
      </c>
      <c r="E30" s="477">
        <f>ROUND(((E28/1000)*E29)/2,0)</f>
        <v>268271</v>
      </c>
      <c r="F30" s="477">
        <f t="shared" ref="F30:G30" si="1">ROUND(((F28/1000)*F29)/2,0)</f>
        <v>2193174</v>
      </c>
      <c r="G30" s="477">
        <f t="shared" si="1"/>
        <v>2404737</v>
      </c>
      <c r="H30" s="478">
        <f>SUM(E30:G30)</f>
        <v>4866182</v>
      </c>
    </row>
    <row r="31" spans="1:10" s="426" customFormat="1" ht="15" thickTop="1" x14ac:dyDescent="0.25">
      <c r="A31" s="516" t="s">
        <v>598</v>
      </c>
      <c r="B31" s="516"/>
      <c r="E31" s="447" t="s">
        <v>592</v>
      </c>
      <c r="J31" s="432"/>
    </row>
    <row r="32" spans="1:10" x14ac:dyDescent="0.25">
      <c r="E32" s="447" t="s">
        <v>595</v>
      </c>
      <c r="F32" s="448"/>
      <c r="G32" s="448"/>
      <c r="H32" s="448"/>
    </row>
    <row r="33" spans="1:5" x14ac:dyDescent="0.25">
      <c r="E33" s="432"/>
    </row>
    <row r="34" spans="1:5" ht="46.5" customHeight="1" x14ac:dyDescent="0.35">
      <c r="A34" s="495" t="s">
        <v>504</v>
      </c>
      <c r="B34" s="464">
        <f>B30</f>
        <v>0</v>
      </c>
      <c r="E34" s="432"/>
    </row>
    <row r="35" spans="1:5" ht="26.25" thickBot="1" x14ac:dyDescent="0.3">
      <c r="A35" s="514" t="s">
        <v>13</v>
      </c>
      <c r="B35" s="515"/>
      <c r="E35" s="432"/>
    </row>
    <row r="36" spans="1:5" ht="30.75" customHeight="1" x14ac:dyDescent="0.35">
      <c r="A36" s="486" t="s">
        <v>430</v>
      </c>
      <c r="B36" s="465">
        <f>INDEX('FY19 State Aid'!$I$5:$I$153,MATCH($D$25,'FY19 State Aid'!$B$5:$B$153,0))</f>
        <v>4994634</v>
      </c>
      <c r="E36" s="432"/>
    </row>
    <row r="37" spans="1:5" ht="30.75" customHeight="1" thickBot="1" x14ac:dyDescent="0.4">
      <c r="A37" s="487" t="s">
        <v>431</v>
      </c>
      <c r="B37" s="466">
        <f>H30</f>
        <v>4866182</v>
      </c>
      <c r="E37" s="432"/>
    </row>
    <row r="38" spans="1:5" ht="30.75" customHeight="1" x14ac:dyDescent="0.35">
      <c r="A38" s="488" t="s">
        <v>487</v>
      </c>
      <c r="B38" s="467">
        <f>B36+B37</f>
        <v>9860816</v>
      </c>
    </row>
    <row r="39" spans="1:5" ht="35.25" customHeight="1" x14ac:dyDescent="0.35">
      <c r="A39" s="489" t="s">
        <v>597</v>
      </c>
      <c r="B39" s="468">
        <f>INDEX('Other Rev Equalization FY20'!$I$4:$I$152,MATCH('3. Prior Year Need Comparison'!A1,'Other Rev Equalization FY20'!$B$4:$B$152,0))</f>
        <v>461856.41000000003</v>
      </c>
    </row>
    <row r="40" spans="1:5" ht="33.75" customHeight="1" x14ac:dyDescent="0.4">
      <c r="A40" s="490" t="s">
        <v>14</v>
      </c>
      <c r="B40" s="469">
        <f>IF((B34-B38-B39)&lt;0,0,B34-B38-B39)</f>
        <v>0</v>
      </c>
    </row>
    <row r="41" spans="1:5" ht="33.75" customHeight="1" x14ac:dyDescent="0.25">
      <c r="A41" s="491"/>
      <c r="B41" s="432"/>
    </row>
    <row r="42" spans="1:5" x14ac:dyDescent="0.25">
      <c r="A42" s="485"/>
      <c r="B42" s="432"/>
    </row>
    <row r="43" spans="1:5" ht="17.25" x14ac:dyDescent="0.3">
      <c r="A43" s="492" t="s">
        <v>523</v>
      </c>
      <c r="B43" s="449" t="s">
        <v>506</v>
      </c>
    </row>
    <row r="44" spans="1:5" ht="17.25" x14ac:dyDescent="0.3">
      <c r="A44" s="493" t="s">
        <v>580</v>
      </c>
      <c r="B44" s="470">
        <f>B36</f>
        <v>4994634</v>
      </c>
    </row>
    <row r="45" spans="1:5" ht="17.25" x14ac:dyDescent="0.3">
      <c r="A45" s="493" t="s">
        <v>581</v>
      </c>
      <c r="B45" s="470">
        <f>B37</f>
        <v>4866182</v>
      </c>
    </row>
    <row r="46" spans="1:5" ht="17.25" x14ac:dyDescent="0.3">
      <c r="A46" s="493" t="s">
        <v>579</v>
      </c>
      <c r="B46" s="470">
        <f>B40</f>
        <v>0</v>
      </c>
    </row>
    <row r="47" spans="1:5" ht="17.25" x14ac:dyDescent="0.3">
      <c r="A47" s="493" t="s">
        <v>517</v>
      </c>
      <c r="B47" s="424"/>
      <c r="C47" s="484" t="s">
        <v>591</v>
      </c>
      <c r="D47" s="485"/>
    </row>
    <row r="48" spans="1:5" ht="17.25" x14ac:dyDescent="0.3">
      <c r="A48" s="493" t="s">
        <v>518</v>
      </c>
      <c r="B48" s="424"/>
      <c r="C48" s="484" t="s">
        <v>591</v>
      </c>
      <c r="D48" s="485"/>
    </row>
    <row r="49" spans="1:4" ht="17.25" x14ac:dyDescent="0.3">
      <c r="A49" s="493" t="s">
        <v>519</v>
      </c>
      <c r="B49" s="424"/>
      <c r="C49" s="484" t="s">
        <v>591</v>
      </c>
      <c r="D49" s="485"/>
    </row>
    <row r="50" spans="1:4" ht="17.25" x14ac:dyDescent="0.3">
      <c r="A50" s="493" t="s">
        <v>520</v>
      </c>
      <c r="B50" s="424"/>
      <c r="C50" s="484" t="s">
        <v>591</v>
      </c>
      <c r="D50" s="485"/>
    </row>
    <row r="51" spans="1:4" ht="17.25" x14ac:dyDescent="0.3">
      <c r="A51" s="493" t="s">
        <v>521</v>
      </c>
      <c r="B51" s="424"/>
      <c r="C51" s="484" t="s">
        <v>591</v>
      </c>
      <c r="D51" s="485"/>
    </row>
    <row r="52" spans="1:4" ht="18" thickBot="1" x14ac:dyDescent="0.35">
      <c r="A52" s="493" t="s">
        <v>522</v>
      </c>
      <c r="B52" s="424"/>
      <c r="C52" s="484" t="s">
        <v>591</v>
      </c>
      <c r="D52" s="485"/>
    </row>
    <row r="53" spans="1:4" ht="17.25" x14ac:dyDescent="0.3">
      <c r="A53" s="494" t="s">
        <v>576</v>
      </c>
      <c r="B53" s="483">
        <f>SUM(B44:B52)</f>
        <v>9860816</v>
      </c>
      <c r="C53" s="450" t="s">
        <v>187</v>
      </c>
      <c r="D53" s="432" t="s">
        <v>187</v>
      </c>
    </row>
  </sheetData>
  <sheetProtection password="C73F" sheet="1" objects="1" scenarios="1"/>
  <mergeCells count="3">
    <mergeCell ref="E24:H24"/>
    <mergeCell ref="A35:B35"/>
    <mergeCell ref="A31:B31"/>
  </mergeCells>
  <pageMargins left="0.2" right="0" top="0.5" bottom="0.25" header="0.3" footer="0.3"/>
  <pageSetup scale="4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AA279-8C7C-4918-9A8F-E9172823EDBD}">
          <x14:formula1>
            <xm:f>'FY19 State Aid'!C$5:C$153</xm:f>
          </x14:formula1>
          <xm:sqref>A5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3455-1712-4719-AC3F-72F603486439}">
  <sheetPr codeName="Sheet6"/>
  <dimension ref="A1:L160"/>
  <sheetViews>
    <sheetView showGridLines="0" zoomScaleNormal="100" zoomScaleSheetLayoutView="120" workbookViewId="0">
      <pane ySplit="4" topLeftCell="A35" activePane="bottomLeft" state="frozen"/>
      <selection pane="bottomLeft" activeCell="B55" sqref="B55"/>
    </sheetView>
  </sheetViews>
  <sheetFormatPr defaultColWidth="9.140625" defaultRowHeight="14.25" x14ac:dyDescent="0.25"/>
  <cols>
    <col min="1" max="1" width="11.42578125" style="86" customWidth="1"/>
    <col min="2" max="2" width="22.85546875" style="86" bestFit="1" customWidth="1"/>
    <col min="3" max="3" width="23" style="86" bestFit="1" customWidth="1"/>
    <col min="4" max="4" width="12.140625" style="84" bestFit="1" customWidth="1"/>
    <col min="5" max="5" width="13.5703125" style="85" customWidth="1"/>
    <col min="6" max="6" width="15.7109375" style="85" customWidth="1"/>
    <col min="7" max="7" width="12.85546875" style="83" customWidth="1"/>
    <col min="8" max="9" width="12.7109375" style="83" bestFit="1" customWidth="1"/>
    <col min="10" max="10" width="14" style="83" customWidth="1"/>
    <col min="11" max="11" width="13" style="83" bestFit="1" customWidth="1"/>
    <col min="12" max="12" width="12.7109375" style="83" bestFit="1" customWidth="1"/>
    <col min="13" max="16384" width="9.140625" style="83"/>
  </cols>
  <sheetData>
    <row r="1" spans="1:12" ht="20.25" x14ac:dyDescent="0.35">
      <c r="C1" s="117" t="s">
        <v>421</v>
      </c>
    </row>
    <row r="2" spans="1:12" x14ac:dyDescent="0.25">
      <c r="C2" s="116" t="s">
        <v>17</v>
      </c>
    </row>
    <row r="4" spans="1:12" s="143" customFormat="1" ht="45" customHeight="1" x14ac:dyDescent="0.25">
      <c r="A4" s="147" t="s">
        <v>387</v>
      </c>
      <c r="B4" s="146" t="s">
        <v>485</v>
      </c>
      <c r="C4" s="146" t="s">
        <v>190</v>
      </c>
      <c r="D4" s="146" t="s">
        <v>386</v>
      </c>
      <c r="E4" s="144" t="s">
        <v>385</v>
      </c>
      <c r="F4" s="144" t="s">
        <v>420</v>
      </c>
      <c r="G4" s="144" t="s">
        <v>419</v>
      </c>
      <c r="H4" s="144" t="s">
        <v>382</v>
      </c>
      <c r="I4" s="144" t="s">
        <v>418</v>
      </c>
      <c r="J4" s="145" t="s">
        <v>417</v>
      </c>
      <c r="K4" s="144" t="s">
        <v>379</v>
      </c>
      <c r="L4" s="144" t="s">
        <v>416</v>
      </c>
    </row>
    <row r="5" spans="1:12" ht="15" x14ac:dyDescent="0.3">
      <c r="A5" s="142">
        <v>6001</v>
      </c>
      <c r="B5" s="20" t="s">
        <v>198</v>
      </c>
      <c r="C5" s="142" t="s">
        <v>198</v>
      </c>
      <c r="D5" s="141">
        <v>25078362.945327487</v>
      </c>
      <c r="E5" s="138">
        <v>36067.030000000028</v>
      </c>
      <c r="F5" s="138">
        <v>4726089</v>
      </c>
      <c r="G5" s="140">
        <v>0</v>
      </c>
      <c r="H5" s="139">
        <f t="shared" ref="H5:H36" si="0">IF(((0.5*D5)-(0.5*E5)-(0.5*G5)-F5)&lt;0,0,ROUND((0.5*D5)-(0.5*E5)-(0.5*G5)-F5,0))</f>
        <v>7795059</v>
      </c>
      <c r="I5" s="138">
        <v>4994634</v>
      </c>
      <c r="J5" s="140"/>
      <c r="K5" s="139">
        <f t="shared" ref="K5:K36" si="1">IF(((0.5*D5)-(0.5*E5)-(0.5*G5)-I5-J5)&lt;0,0,ROUND((0.5*D5)-(0.5*E5)-(0.5*G5)-I5-J5,0))</f>
        <v>7526514</v>
      </c>
      <c r="L5" s="138">
        <f t="shared" ref="L5:L36" si="2">H5+K5</f>
        <v>15321573</v>
      </c>
    </row>
    <row r="6" spans="1:12" ht="13.5" customHeight="1" x14ac:dyDescent="0.3">
      <c r="A6" s="130">
        <v>58003</v>
      </c>
      <c r="B6" s="20" t="s">
        <v>199</v>
      </c>
      <c r="C6" s="130" t="s">
        <v>199</v>
      </c>
      <c r="D6" s="127">
        <v>1795008.0501561686</v>
      </c>
      <c r="E6" s="125">
        <v>3961.4039999999222</v>
      </c>
      <c r="F6" s="125">
        <v>1140659</v>
      </c>
      <c r="G6" s="126">
        <v>738357</v>
      </c>
      <c r="H6" s="129">
        <f t="shared" si="0"/>
        <v>0</v>
      </c>
      <c r="I6" s="125">
        <v>1196646</v>
      </c>
      <c r="J6" s="126"/>
      <c r="K6" s="129">
        <f t="shared" si="1"/>
        <v>0</v>
      </c>
      <c r="L6" s="125">
        <f t="shared" si="2"/>
        <v>0</v>
      </c>
    </row>
    <row r="7" spans="1:12" ht="13.5" customHeight="1" x14ac:dyDescent="0.3">
      <c r="A7" s="130">
        <v>61001</v>
      </c>
      <c r="B7" s="20" t="s">
        <v>200</v>
      </c>
      <c r="C7" s="130" t="s">
        <v>200</v>
      </c>
      <c r="D7" s="127">
        <v>2167556.4289637022</v>
      </c>
      <c r="E7" s="125">
        <v>0</v>
      </c>
      <c r="F7" s="125">
        <v>444546</v>
      </c>
      <c r="G7" s="126">
        <v>0</v>
      </c>
      <c r="H7" s="129">
        <f t="shared" si="0"/>
        <v>639232</v>
      </c>
      <c r="I7" s="125">
        <v>456227</v>
      </c>
      <c r="J7" s="126"/>
      <c r="K7" s="129">
        <f t="shared" si="1"/>
        <v>627551</v>
      </c>
      <c r="L7" s="125">
        <f t="shared" si="2"/>
        <v>1266783</v>
      </c>
    </row>
    <row r="8" spans="1:12" ht="13.5" customHeight="1" x14ac:dyDescent="0.3">
      <c r="A8" s="130">
        <v>11001</v>
      </c>
      <c r="B8" s="20" t="s">
        <v>201</v>
      </c>
      <c r="C8" s="130" t="s">
        <v>201</v>
      </c>
      <c r="D8" s="127">
        <v>2058760.4575084613</v>
      </c>
      <c r="E8" s="125">
        <v>0</v>
      </c>
      <c r="F8" s="125">
        <v>338450</v>
      </c>
      <c r="G8" s="126">
        <v>0</v>
      </c>
      <c r="H8" s="129">
        <f t="shared" si="0"/>
        <v>690930</v>
      </c>
      <c r="I8" s="125">
        <v>349451</v>
      </c>
      <c r="J8" s="126"/>
      <c r="K8" s="129">
        <f t="shared" si="1"/>
        <v>679929</v>
      </c>
      <c r="L8" s="125">
        <f t="shared" si="2"/>
        <v>1370859</v>
      </c>
    </row>
    <row r="9" spans="1:12" ht="13.5" customHeight="1" x14ac:dyDescent="0.3">
      <c r="A9" s="130">
        <v>38001</v>
      </c>
      <c r="B9" s="20" t="s">
        <v>202</v>
      </c>
      <c r="C9" s="130" t="s">
        <v>202</v>
      </c>
      <c r="D9" s="127">
        <v>1721800.8333864128</v>
      </c>
      <c r="E9" s="125">
        <v>0</v>
      </c>
      <c r="F9" s="125">
        <v>473788</v>
      </c>
      <c r="G9" s="126">
        <v>0</v>
      </c>
      <c r="H9" s="129">
        <f t="shared" si="0"/>
        <v>387112</v>
      </c>
      <c r="I9" s="125">
        <v>503347</v>
      </c>
      <c r="J9" s="126"/>
      <c r="K9" s="129">
        <f t="shared" si="1"/>
        <v>357553</v>
      </c>
      <c r="L9" s="125">
        <f t="shared" si="2"/>
        <v>744665</v>
      </c>
    </row>
    <row r="10" spans="1:12" ht="13.5" customHeight="1" x14ac:dyDescent="0.3">
      <c r="A10" s="130">
        <v>21001</v>
      </c>
      <c r="B10" s="20" t="s">
        <v>203</v>
      </c>
      <c r="C10" s="130" t="s">
        <v>203</v>
      </c>
      <c r="D10" s="127">
        <v>1248314.0032336051</v>
      </c>
      <c r="E10" s="125">
        <v>24315.761999999988</v>
      </c>
      <c r="F10" s="125">
        <v>188177</v>
      </c>
      <c r="G10" s="126">
        <v>0</v>
      </c>
      <c r="H10" s="129">
        <f t="shared" si="0"/>
        <v>423822</v>
      </c>
      <c r="I10" s="125">
        <v>200633</v>
      </c>
      <c r="J10" s="126"/>
      <c r="K10" s="129">
        <f t="shared" si="1"/>
        <v>411366</v>
      </c>
      <c r="L10" s="125">
        <f t="shared" si="2"/>
        <v>835188</v>
      </c>
    </row>
    <row r="11" spans="1:12" ht="13.5" customHeight="1" x14ac:dyDescent="0.3">
      <c r="A11" s="130">
        <v>4001</v>
      </c>
      <c r="B11" s="20" t="s">
        <v>204</v>
      </c>
      <c r="C11" s="130" t="s">
        <v>204</v>
      </c>
      <c r="D11" s="127">
        <v>1581784.0884275294</v>
      </c>
      <c r="E11" s="125">
        <v>0</v>
      </c>
      <c r="F11" s="125">
        <v>207330</v>
      </c>
      <c r="G11" s="126">
        <v>0</v>
      </c>
      <c r="H11" s="129">
        <f t="shared" si="0"/>
        <v>583562</v>
      </c>
      <c r="I11" s="125">
        <v>220942</v>
      </c>
      <c r="J11" s="126"/>
      <c r="K11" s="129">
        <f t="shared" si="1"/>
        <v>569950</v>
      </c>
      <c r="L11" s="125">
        <f t="shared" si="2"/>
        <v>1153512</v>
      </c>
    </row>
    <row r="12" spans="1:12" ht="13.5" customHeight="1" x14ac:dyDescent="0.3">
      <c r="A12" s="130">
        <v>49001</v>
      </c>
      <c r="B12" s="20" t="s">
        <v>205</v>
      </c>
      <c r="C12" s="130" t="s">
        <v>205</v>
      </c>
      <c r="D12" s="127">
        <v>2840976.068530838</v>
      </c>
      <c r="E12" s="125">
        <v>2684.8580000000075</v>
      </c>
      <c r="F12" s="125">
        <v>315858</v>
      </c>
      <c r="G12" s="126">
        <v>0</v>
      </c>
      <c r="H12" s="129">
        <f t="shared" si="0"/>
        <v>1103288</v>
      </c>
      <c r="I12" s="125">
        <v>351752</v>
      </c>
      <c r="J12" s="126"/>
      <c r="K12" s="129">
        <f t="shared" si="1"/>
        <v>1067394</v>
      </c>
      <c r="L12" s="125">
        <f t="shared" si="2"/>
        <v>2170682</v>
      </c>
    </row>
    <row r="13" spans="1:12" ht="13.5" customHeight="1" x14ac:dyDescent="0.3">
      <c r="A13" s="130">
        <v>9001</v>
      </c>
      <c r="B13" s="20" t="s">
        <v>206</v>
      </c>
      <c r="C13" s="130" t="s">
        <v>206</v>
      </c>
      <c r="D13" s="127">
        <v>7579345.363900777</v>
      </c>
      <c r="E13" s="125">
        <v>12764.349999999948</v>
      </c>
      <c r="F13" s="125">
        <v>1065487</v>
      </c>
      <c r="G13" s="126">
        <v>0</v>
      </c>
      <c r="H13" s="129">
        <f t="shared" si="0"/>
        <v>2717804</v>
      </c>
      <c r="I13" s="125">
        <v>1115408</v>
      </c>
      <c r="J13" s="137"/>
      <c r="K13" s="129">
        <f t="shared" si="1"/>
        <v>2667883</v>
      </c>
      <c r="L13" s="125">
        <f t="shared" si="2"/>
        <v>5385687</v>
      </c>
    </row>
    <row r="14" spans="1:12" ht="13.5" customHeight="1" x14ac:dyDescent="0.3">
      <c r="A14" s="130">
        <v>3001</v>
      </c>
      <c r="B14" s="20" t="s">
        <v>207</v>
      </c>
      <c r="C14" s="130" t="s">
        <v>207</v>
      </c>
      <c r="D14" s="127">
        <v>2670004.636739179</v>
      </c>
      <c r="E14" s="125">
        <v>22841.303999999975</v>
      </c>
      <c r="F14" s="125">
        <v>214569</v>
      </c>
      <c r="G14" s="126">
        <v>0</v>
      </c>
      <c r="H14" s="129">
        <f t="shared" si="0"/>
        <v>1109013</v>
      </c>
      <c r="I14" s="125">
        <v>220843</v>
      </c>
      <c r="J14" s="126"/>
      <c r="K14" s="129">
        <f t="shared" si="1"/>
        <v>1102739</v>
      </c>
      <c r="L14" s="125">
        <f t="shared" si="2"/>
        <v>2211752</v>
      </c>
    </row>
    <row r="15" spans="1:12" ht="13.5" customHeight="1" x14ac:dyDescent="0.3">
      <c r="A15" s="130">
        <v>61002</v>
      </c>
      <c r="B15" s="20" t="s">
        <v>208</v>
      </c>
      <c r="C15" s="130" t="s">
        <v>208</v>
      </c>
      <c r="D15" s="127">
        <v>3864307.2551130801</v>
      </c>
      <c r="E15" s="125">
        <v>1824.8720000000321</v>
      </c>
      <c r="F15" s="125">
        <v>665736</v>
      </c>
      <c r="G15" s="126">
        <v>0</v>
      </c>
      <c r="H15" s="129">
        <f t="shared" si="0"/>
        <v>1265505</v>
      </c>
      <c r="I15" s="125">
        <v>689903</v>
      </c>
      <c r="J15" s="126"/>
      <c r="K15" s="129">
        <f t="shared" si="1"/>
        <v>1241338</v>
      </c>
      <c r="L15" s="125">
        <f t="shared" si="2"/>
        <v>2506843</v>
      </c>
    </row>
    <row r="16" spans="1:12" ht="13.5" customHeight="1" x14ac:dyDescent="0.3">
      <c r="A16" s="130">
        <v>25001</v>
      </c>
      <c r="B16" s="20" t="s">
        <v>209</v>
      </c>
      <c r="C16" s="130" t="s">
        <v>209</v>
      </c>
      <c r="D16" s="127">
        <v>632849.99606828997</v>
      </c>
      <c r="E16" s="125">
        <v>6871.6879999999983</v>
      </c>
      <c r="F16" s="125">
        <v>172464</v>
      </c>
      <c r="G16" s="126">
        <v>0</v>
      </c>
      <c r="H16" s="129">
        <f t="shared" si="0"/>
        <v>140525</v>
      </c>
      <c r="I16" s="125">
        <v>205341</v>
      </c>
      <c r="J16" s="126"/>
      <c r="K16" s="129">
        <f t="shared" si="1"/>
        <v>107648</v>
      </c>
      <c r="L16" s="125">
        <f t="shared" si="2"/>
        <v>248173</v>
      </c>
    </row>
    <row r="17" spans="1:12" ht="13.5" customHeight="1" x14ac:dyDescent="0.3">
      <c r="A17" s="130">
        <v>52001</v>
      </c>
      <c r="B17" s="20" t="s">
        <v>210</v>
      </c>
      <c r="C17" s="130" t="s">
        <v>210</v>
      </c>
      <c r="D17" s="127">
        <v>1015341.75193374</v>
      </c>
      <c r="E17" s="125">
        <v>19074.993999999977</v>
      </c>
      <c r="F17" s="125">
        <v>294779</v>
      </c>
      <c r="G17" s="126">
        <v>0</v>
      </c>
      <c r="H17" s="129">
        <f t="shared" si="0"/>
        <v>203354</v>
      </c>
      <c r="I17" s="125">
        <v>328057</v>
      </c>
      <c r="J17" s="126"/>
      <c r="K17" s="129">
        <f t="shared" si="1"/>
        <v>170076</v>
      </c>
      <c r="L17" s="125">
        <f t="shared" si="2"/>
        <v>373430</v>
      </c>
    </row>
    <row r="18" spans="1:12" ht="13.5" customHeight="1" x14ac:dyDescent="0.3">
      <c r="A18" s="130">
        <v>4002</v>
      </c>
      <c r="B18" s="20" t="s">
        <v>211</v>
      </c>
      <c r="C18" s="130" t="s">
        <v>211</v>
      </c>
      <c r="D18" s="127">
        <v>3082839.2544684829</v>
      </c>
      <c r="E18" s="125">
        <v>0</v>
      </c>
      <c r="F18" s="125">
        <v>494476</v>
      </c>
      <c r="G18" s="126">
        <v>0</v>
      </c>
      <c r="H18" s="129">
        <f t="shared" si="0"/>
        <v>1046944</v>
      </c>
      <c r="I18" s="125">
        <v>560091</v>
      </c>
      <c r="J18" s="126"/>
      <c r="K18" s="129">
        <f t="shared" si="1"/>
        <v>981329</v>
      </c>
      <c r="L18" s="125">
        <f t="shared" si="2"/>
        <v>2028273</v>
      </c>
    </row>
    <row r="19" spans="1:12" ht="13.5" customHeight="1" x14ac:dyDescent="0.3">
      <c r="A19" s="130">
        <v>22001</v>
      </c>
      <c r="B19" s="20" t="s">
        <v>212</v>
      </c>
      <c r="C19" s="130" t="s">
        <v>212</v>
      </c>
      <c r="D19" s="127">
        <v>758029.11616970995</v>
      </c>
      <c r="E19" s="125">
        <v>24081.971999999994</v>
      </c>
      <c r="F19" s="125">
        <v>263346</v>
      </c>
      <c r="G19" s="126">
        <v>0</v>
      </c>
      <c r="H19" s="129">
        <f t="shared" si="0"/>
        <v>103628</v>
      </c>
      <c r="I19" s="125">
        <v>267137</v>
      </c>
      <c r="J19" s="126"/>
      <c r="K19" s="129">
        <f t="shared" si="1"/>
        <v>99837</v>
      </c>
      <c r="L19" s="125">
        <f t="shared" si="2"/>
        <v>203465</v>
      </c>
    </row>
    <row r="20" spans="1:12" ht="13.5" customHeight="1" x14ac:dyDescent="0.3">
      <c r="A20" s="130">
        <v>49002</v>
      </c>
      <c r="B20" s="20" t="s">
        <v>213</v>
      </c>
      <c r="C20" s="130" t="s">
        <v>213</v>
      </c>
      <c r="D20" s="127">
        <v>23689453.039637618</v>
      </c>
      <c r="E20" s="125">
        <v>0</v>
      </c>
      <c r="F20" s="125">
        <v>3636288</v>
      </c>
      <c r="G20" s="126">
        <v>0</v>
      </c>
      <c r="H20" s="129">
        <f t="shared" si="0"/>
        <v>8208439</v>
      </c>
      <c r="I20" s="125">
        <v>4069397</v>
      </c>
      <c r="J20" s="126"/>
      <c r="K20" s="129">
        <f t="shared" si="1"/>
        <v>7775330</v>
      </c>
      <c r="L20" s="125">
        <f t="shared" si="2"/>
        <v>15983769</v>
      </c>
    </row>
    <row r="21" spans="1:12" ht="13.5" customHeight="1" x14ac:dyDescent="0.3">
      <c r="A21" s="130">
        <v>30003</v>
      </c>
      <c r="B21" s="20" t="s">
        <v>214</v>
      </c>
      <c r="C21" s="130" t="s">
        <v>214</v>
      </c>
      <c r="D21" s="127">
        <v>2180642.6541294619</v>
      </c>
      <c r="E21" s="125">
        <v>0</v>
      </c>
      <c r="F21" s="125">
        <v>407105</v>
      </c>
      <c r="G21" s="126">
        <v>0</v>
      </c>
      <c r="H21" s="129">
        <f t="shared" si="0"/>
        <v>683216</v>
      </c>
      <c r="I21" s="125">
        <v>433451</v>
      </c>
      <c r="J21" s="126"/>
      <c r="K21" s="129">
        <f t="shared" si="1"/>
        <v>656870</v>
      </c>
      <c r="L21" s="125">
        <f t="shared" si="2"/>
        <v>1340086</v>
      </c>
    </row>
    <row r="22" spans="1:12" ht="13.5" customHeight="1" x14ac:dyDescent="0.3">
      <c r="A22" s="130">
        <v>45004</v>
      </c>
      <c r="B22" s="20" t="s">
        <v>377</v>
      </c>
      <c r="C22" s="130" t="s">
        <v>377</v>
      </c>
      <c r="D22" s="127">
        <v>2590954.4644741411</v>
      </c>
      <c r="E22" s="125">
        <v>35008.726000000024</v>
      </c>
      <c r="F22" s="125">
        <v>917471</v>
      </c>
      <c r="G22" s="126">
        <v>0</v>
      </c>
      <c r="H22" s="129">
        <f t="shared" si="0"/>
        <v>360502</v>
      </c>
      <c r="I22" s="125">
        <v>957568</v>
      </c>
      <c r="J22" s="126"/>
      <c r="K22" s="129">
        <f t="shared" si="1"/>
        <v>320405</v>
      </c>
      <c r="L22" s="125">
        <f t="shared" si="2"/>
        <v>680907</v>
      </c>
    </row>
    <row r="23" spans="1:12" ht="13.5" customHeight="1" x14ac:dyDescent="0.3">
      <c r="A23" s="130">
        <v>5001</v>
      </c>
      <c r="B23" s="20" t="s">
        <v>216</v>
      </c>
      <c r="C23" s="130" t="s">
        <v>216</v>
      </c>
      <c r="D23" s="127">
        <v>19059383.380490787</v>
      </c>
      <c r="E23" s="125">
        <v>0</v>
      </c>
      <c r="F23" s="125">
        <v>3829404</v>
      </c>
      <c r="G23" s="126">
        <v>0</v>
      </c>
      <c r="H23" s="129">
        <f t="shared" si="0"/>
        <v>5700288</v>
      </c>
      <c r="I23" s="125">
        <v>3952716</v>
      </c>
      <c r="J23" s="126"/>
      <c r="K23" s="129">
        <f t="shared" si="1"/>
        <v>5576976</v>
      </c>
      <c r="L23" s="125">
        <f t="shared" si="2"/>
        <v>11277264</v>
      </c>
    </row>
    <row r="24" spans="1:12" ht="13.5" customHeight="1" x14ac:dyDescent="0.3">
      <c r="A24" s="130">
        <v>26002</v>
      </c>
      <c r="B24" s="20" t="s">
        <v>217</v>
      </c>
      <c r="C24" s="130" t="s">
        <v>217</v>
      </c>
      <c r="D24" s="127">
        <v>1645690.1973162948</v>
      </c>
      <c r="E24" s="125">
        <v>0</v>
      </c>
      <c r="F24" s="125">
        <v>207417</v>
      </c>
      <c r="G24" s="126">
        <v>0</v>
      </c>
      <c r="H24" s="129">
        <f t="shared" si="0"/>
        <v>615428</v>
      </c>
      <c r="I24" s="125">
        <v>228077</v>
      </c>
      <c r="J24" s="126"/>
      <c r="K24" s="129">
        <f t="shared" si="1"/>
        <v>594768</v>
      </c>
      <c r="L24" s="125">
        <f t="shared" si="2"/>
        <v>1210196</v>
      </c>
    </row>
    <row r="25" spans="1:12" ht="13.5" customHeight="1" x14ac:dyDescent="0.3">
      <c r="A25" s="130">
        <v>43001</v>
      </c>
      <c r="B25" s="20" t="s">
        <v>218</v>
      </c>
      <c r="C25" s="130" t="s">
        <v>218</v>
      </c>
      <c r="D25" s="127">
        <v>1347414.1399805623</v>
      </c>
      <c r="E25" s="125">
        <v>0</v>
      </c>
      <c r="F25" s="125">
        <v>216713</v>
      </c>
      <c r="G25" s="126">
        <v>0</v>
      </c>
      <c r="H25" s="129">
        <f t="shared" si="0"/>
        <v>456994</v>
      </c>
      <c r="I25" s="125">
        <v>248405</v>
      </c>
      <c r="J25" s="126"/>
      <c r="K25" s="129">
        <f t="shared" si="1"/>
        <v>425302</v>
      </c>
      <c r="L25" s="125">
        <f t="shared" si="2"/>
        <v>882296</v>
      </c>
    </row>
    <row r="26" spans="1:12" ht="13.5" customHeight="1" x14ac:dyDescent="0.3">
      <c r="A26" s="130">
        <v>41001</v>
      </c>
      <c r="B26" s="20" t="s">
        <v>219</v>
      </c>
      <c r="C26" s="130" t="s">
        <v>219</v>
      </c>
      <c r="D26" s="127">
        <v>4869756.7544101737</v>
      </c>
      <c r="E26" s="125">
        <v>0</v>
      </c>
      <c r="F26" s="125">
        <v>960415</v>
      </c>
      <c r="G26" s="126">
        <v>0</v>
      </c>
      <c r="H26" s="129">
        <f t="shared" si="0"/>
        <v>1474463</v>
      </c>
      <c r="I26" s="125">
        <v>1017338</v>
      </c>
      <c r="J26" s="126"/>
      <c r="K26" s="129">
        <f t="shared" si="1"/>
        <v>1417540</v>
      </c>
      <c r="L26" s="125">
        <f t="shared" si="2"/>
        <v>2892003</v>
      </c>
    </row>
    <row r="27" spans="1:12" ht="13.5" customHeight="1" x14ac:dyDescent="0.3">
      <c r="A27" s="130">
        <v>28001</v>
      </c>
      <c r="B27" s="20" t="s">
        <v>220</v>
      </c>
      <c r="C27" s="130" t="s">
        <v>220</v>
      </c>
      <c r="D27" s="127">
        <v>1940990.6855552725</v>
      </c>
      <c r="E27" s="125">
        <v>8466.1179999999877</v>
      </c>
      <c r="F27" s="125">
        <v>296804</v>
      </c>
      <c r="G27" s="126">
        <v>0</v>
      </c>
      <c r="H27" s="129">
        <f t="shared" si="0"/>
        <v>669458</v>
      </c>
      <c r="I27" s="125">
        <v>319904</v>
      </c>
      <c r="J27" s="126"/>
      <c r="K27" s="129">
        <f t="shared" si="1"/>
        <v>646358</v>
      </c>
      <c r="L27" s="125">
        <f t="shared" si="2"/>
        <v>1315816</v>
      </c>
    </row>
    <row r="28" spans="1:12" ht="13.5" customHeight="1" x14ac:dyDescent="0.3">
      <c r="A28" s="130">
        <v>60001</v>
      </c>
      <c r="B28" s="20" t="s">
        <v>221</v>
      </c>
      <c r="C28" s="130" t="s">
        <v>221</v>
      </c>
      <c r="D28" s="127">
        <v>1819540.7419564179</v>
      </c>
      <c r="E28" s="125">
        <v>4461.4580000000133</v>
      </c>
      <c r="F28" s="125">
        <v>286524</v>
      </c>
      <c r="G28" s="126">
        <v>0</v>
      </c>
      <c r="H28" s="129">
        <f t="shared" si="0"/>
        <v>621016</v>
      </c>
      <c r="I28" s="125">
        <v>293815</v>
      </c>
      <c r="J28" s="126"/>
      <c r="K28" s="129">
        <f t="shared" si="1"/>
        <v>613725</v>
      </c>
      <c r="L28" s="125">
        <f t="shared" si="2"/>
        <v>1234741</v>
      </c>
    </row>
    <row r="29" spans="1:12" ht="13.5" customHeight="1" x14ac:dyDescent="0.3">
      <c r="A29" s="130">
        <v>7001</v>
      </c>
      <c r="B29" s="20" t="s">
        <v>222</v>
      </c>
      <c r="C29" s="130" t="s">
        <v>222</v>
      </c>
      <c r="D29" s="127">
        <v>4926549.450711485</v>
      </c>
      <c r="E29" s="125">
        <v>62913.179999999935</v>
      </c>
      <c r="F29" s="125">
        <v>913729</v>
      </c>
      <c r="G29" s="126">
        <v>0</v>
      </c>
      <c r="H29" s="129">
        <f t="shared" si="0"/>
        <v>1518089</v>
      </c>
      <c r="I29" s="125">
        <v>934058</v>
      </c>
      <c r="J29" s="126"/>
      <c r="K29" s="129">
        <f t="shared" si="1"/>
        <v>1497760</v>
      </c>
      <c r="L29" s="125">
        <f t="shared" si="2"/>
        <v>3015849</v>
      </c>
    </row>
    <row r="30" spans="1:12" ht="13.5" customHeight="1" x14ac:dyDescent="0.3">
      <c r="A30" s="130">
        <v>39001</v>
      </c>
      <c r="B30" s="20" t="s">
        <v>376</v>
      </c>
      <c r="C30" s="130" t="s">
        <v>376</v>
      </c>
      <c r="D30" s="127">
        <v>3079958.0962867364</v>
      </c>
      <c r="E30" s="125">
        <v>0</v>
      </c>
      <c r="F30" s="125">
        <v>529566</v>
      </c>
      <c r="G30" s="126">
        <v>0</v>
      </c>
      <c r="H30" s="129">
        <f t="shared" si="0"/>
        <v>1010413</v>
      </c>
      <c r="I30" s="125">
        <v>554113</v>
      </c>
      <c r="J30" s="126"/>
      <c r="K30" s="129">
        <f t="shared" si="1"/>
        <v>985866</v>
      </c>
      <c r="L30" s="125">
        <f t="shared" si="2"/>
        <v>1996279</v>
      </c>
    </row>
    <row r="31" spans="1:12" ht="13.5" customHeight="1" x14ac:dyDescent="0.3">
      <c r="A31" s="130">
        <v>12002</v>
      </c>
      <c r="B31" s="20" t="s">
        <v>224</v>
      </c>
      <c r="C31" s="130" t="s">
        <v>224</v>
      </c>
      <c r="D31" s="127">
        <v>2455966.7207085406</v>
      </c>
      <c r="E31" s="125">
        <v>29267.371999999974</v>
      </c>
      <c r="F31" s="125">
        <v>799705</v>
      </c>
      <c r="G31" s="126">
        <v>0</v>
      </c>
      <c r="H31" s="129">
        <f t="shared" si="0"/>
        <v>413645</v>
      </c>
      <c r="I31" s="125">
        <v>830169</v>
      </c>
      <c r="J31" s="126"/>
      <c r="K31" s="129">
        <f t="shared" si="1"/>
        <v>383181</v>
      </c>
      <c r="L31" s="125">
        <f t="shared" si="2"/>
        <v>796826</v>
      </c>
    </row>
    <row r="32" spans="1:12" ht="13.5" customHeight="1" x14ac:dyDescent="0.3">
      <c r="A32" s="130">
        <v>50005</v>
      </c>
      <c r="B32" s="20" t="s">
        <v>225</v>
      </c>
      <c r="C32" s="130" t="s">
        <v>225</v>
      </c>
      <c r="D32" s="127">
        <v>1700767.5844188249</v>
      </c>
      <c r="E32" s="125">
        <v>0</v>
      </c>
      <c r="F32" s="125">
        <v>274628</v>
      </c>
      <c r="G32" s="126">
        <v>0</v>
      </c>
      <c r="H32" s="129">
        <f t="shared" si="0"/>
        <v>575756</v>
      </c>
      <c r="I32" s="125">
        <v>298144</v>
      </c>
      <c r="J32" s="126"/>
      <c r="K32" s="129">
        <f t="shared" si="1"/>
        <v>552240</v>
      </c>
      <c r="L32" s="125">
        <f t="shared" si="2"/>
        <v>1127996</v>
      </c>
    </row>
    <row r="33" spans="1:12" ht="13.5" customHeight="1" x14ac:dyDescent="0.3">
      <c r="A33" s="130">
        <v>59003</v>
      </c>
      <c r="B33" s="20" t="s">
        <v>226</v>
      </c>
      <c r="C33" s="130" t="s">
        <v>226</v>
      </c>
      <c r="D33" s="127">
        <v>1564205.3613382543</v>
      </c>
      <c r="E33" s="125">
        <v>0</v>
      </c>
      <c r="F33" s="125">
        <v>271828</v>
      </c>
      <c r="G33" s="126">
        <v>0</v>
      </c>
      <c r="H33" s="129">
        <f t="shared" si="0"/>
        <v>510275</v>
      </c>
      <c r="I33" s="125">
        <v>267465</v>
      </c>
      <c r="J33" s="126"/>
      <c r="K33" s="129">
        <f t="shared" si="1"/>
        <v>514638</v>
      </c>
      <c r="L33" s="125">
        <f t="shared" si="2"/>
        <v>1024913</v>
      </c>
    </row>
    <row r="34" spans="1:12" ht="13.5" customHeight="1" x14ac:dyDescent="0.3">
      <c r="A34" s="130">
        <v>21003</v>
      </c>
      <c r="B34" s="20" t="s">
        <v>227</v>
      </c>
      <c r="C34" s="130" t="s">
        <v>227</v>
      </c>
      <c r="D34" s="127">
        <v>1703048.5923591722</v>
      </c>
      <c r="E34" s="125">
        <v>8378.1059999999707</v>
      </c>
      <c r="F34" s="125">
        <v>442927</v>
      </c>
      <c r="G34" s="126">
        <v>0</v>
      </c>
      <c r="H34" s="129">
        <f t="shared" si="0"/>
        <v>404408</v>
      </c>
      <c r="I34" s="125">
        <v>472145</v>
      </c>
      <c r="J34" s="126"/>
      <c r="K34" s="129">
        <f t="shared" si="1"/>
        <v>375190</v>
      </c>
      <c r="L34" s="125">
        <f t="shared" si="2"/>
        <v>779598</v>
      </c>
    </row>
    <row r="35" spans="1:12" ht="13.5" customHeight="1" x14ac:dyDescent="0.3">
      <c r="A35" s="130">
        <v>16001</v>
      </c>
      <c r="B35" s="20" t="s">
        <v>228</v>
      </c>
      <c r="C35" s="130" t="s">
        <v>228</v>
      </c>
      <c r="D35" s="127">
        <v>5336024.2613543523</v>
      </c>
      <c r="E35" s="125">
        <v>0</v>
      </c>
      <c r="F35" s="125">
        <v>2038709</v>
      </c>
      <c r="G35" s="126">
        <v>0</v>
      </c>
      <c r="H35" s="129">
        <f t="shared" si="0"/>
        <v>629303</v>
      </c>
      <c r="I35" s="125">
        <v>2155429</v>
      </c>
      <c r="J35" s="126"/>
      <c r="K35" s="129">
        <f t="shared" si="1"/>
        <v>512583</v>
      </c>
      <c r="L35" s="125">
        <f t="shared" si="2"/>
        <v>1141886</v>
      </c>
    </row>
    <row r="36" spans="1:12" ht="13.5" customHeight="1" x14ac:dyDescent="0.3">
      <c r="A36" s="130">
        <v>61008</v>
      </c>
      <c r="B36" s="20" t="s">
        <v>229</v>
      </c>
      <c r="C36" s="130" t="s">
        <v>229</v>
      </c>
      <c r="D36" s="127">
        <v>7549191.1047474584</v>
      </c>
      <c r="E36" s="125">
        <v>48669.691999999981</v>
      </c>
      <c r="F36" s="125">
        <v>1903405</v>
      </c>
      <c r="G36" s="126">
        <v>0</v>
      </c>
      <c r="H36" s="129">
        <f t="shared" si="0"/>
        <v>1846856</v>
      </c>
      <c r="I36" s="125">
        <v>1970584</v>
      </c>
      <c r="J36" s="126"/>
      <c r="K36" s="129">
        <f t="shared" si="1"/>
        <v>1779677</v>
      </c>
      <c r="L36" s="125">
        <f t="shared" si="2"/>
        <v>3626533</v>
      </c>
    </row>
    <row r="37" spans="1:12" ht="13.5" customHeight="1" x14ac:dyDescent="0.3">
      <c r="A37" s="130">
        <v>38002</v>
      </c>
      <c r="B37" s="20" t="s">
        <v>230</v>
      </c>
      <c r="C37" s="130" t="s">
        <v>230</v>
      </c>
      <c r="D37" s="127">
        <v>1882020.4011291633</v>
      </c>
      <c r="E37" s="125">
        <v>0</v>
      </c>
      <c r="F37" s="125">
        <v>525177</v>
      </c>
      <c r="G37" s="126">
        <v>0</v>
      </c>
      <c r="H37" s="129">
        <f t="shared" ref="H37:H68" si="3">IF(((0.5*D37)-(0.5*E37)-(0.5*G37)-F37)&lt;0,0,ROUND((0.5*D37)-(0.5*E37)-(0.5*G37)-F37,0))</f>
        <v>415833</v>
      </c>
      <c r="I37" s="125">
        <v>572017</v>
      </c>
      <c r="J37" s="126"/>
      <c r="K37" s="129">
        <f t="shared" ref="K37:K68" si="4">IF(((0.5*D37)-(0.5*E37)-(0.5*G37)-I37-J37)&lt;0,0,ROUND((0.5*D37)-(0.5*E37)-(0.5*G37)-I37-J37,0))</f>
        <v>368993</v>
      </c>
      <c r="L37" s="125">
        <f t="shared" ref="L37:L68" si="5">H37+K37</f>
        <v>784826</v>
      </c>
    </row>
    <row r="38" spans="1:12" ht="13.5" customHeight="1" x14ac:dyDescent="0.3">
      <c r="A38" s="130">
        <v>49003</v>
      </c>
      <c r="B38" s="20" t="s">
        <v>231</v>
      </c>
      <c r="C38" s="130" t="s">
        <v>231</v>
      </c>
      <c r="D38" s="127">
        <v>5299360.6879557595</v>
      </c>
      <c r="E38" s="125">
        <v>10811.31799999997</v>
      </c>
      <c r="F38" s="125">
        <v>920000</v>
      </c>
      <c r="G38" s="126">
        <v>0</v>
      </c>
      <c r="H38" s="129">
        <f t="shared" si="3"/>
        <v>1724275</v>
      </c>
      <c r="I38" s="125">
        <v>995907</v>
      </c>
      <c r="J38" s="126"/>
      <c r="K38" s="129">
        <f t="shared" si="4"/>
        <v>1648368</v>
      </c>
      <c r="L38" s="125">
        <f t="shared" si="5"/>
        <v>3372643</v>
      </c>
    </row>
    <row r="39" spans="1:12" ht="13.5" customHeight="1" x14ac:dyDescent="0.3">
      <c r="A39" s="130">
        <v>5006</v>
      </c>
      <c r="B39" s="20" t="s">
        <v>375</v>
      </c>
      <c r="C39" s="130" t="s">
        <v>375</v>
      </c>
      <c r="D39" s="127">
        <v>2401787.8767819768</v>
      </c>
      <c r="E39" s="125">
        <v>51475.3679999999</v>
      </c>
      <c r="F39" s="125">
        <v>525064</v>
      </c>
      <c r="G39" s="126">
        <v>0</v>
      </c>
      <c r="H39" s="129">
        <f t="shared" si="3"/>
        <v>650092</v>
      </c>
      <c r="I39" s="125">
        <v>551984</v>
      </c>
      <c r="J39" s="126"/>
      <c r="K39" s="129">
        <f t="shared" si="4"/>
        <v>623172</v>
      </c>
      <c r="L39" s="125">
        <f t="shared" si="5"/>
        <v>1273264</v>
      </c>
    </row>
    <row r="40" spans="1:12" ht="13.5" customHeight="1" x14ac:dyDescent="0.3">
      <c r="A40" s="130">
        <v>19004</v>
      </c>
      <c r="B40" s="20" t="s">
        <v>233</v>
      </c>
      <c r="C40" s="130" t="s">
        <v>233</v>
      </c>
      <c r="D40" s="127">
        <v>2993670.5523042381</v>
      </c>
      <c r="E40" s="125">
        <v>34749.96040000004</v>
      </c>
      <c r="F40" s="125">
        <v>817680</v>
      </c>
      <c r="G40" s="126">
        <v>0</v>
      </c>
      <c r="H40" s="129">
        <f t="shared" si="3"/>
        <v>661780</v>
      </c>
      <c r="I40" s="125">
        <v>886955</v>
      </c>
      <c r="J40" s="126"/>
      <c r="K40" s="129">
        <f t="shared" si="4"/>
        <v>592505</v>
      </c>
      <c r="L40" s="125">
        <f t="shared" si="5"/>
        <v>1254285</v>
      </c>
    </row>
    <row r="41" spans="1:12" ht="13.5" customHeight="1" x14ac:dyDescent="0.3">
      <c r="A41" s="130">
        <v>56002</v>
      </c>
      <c r="B41" s="20" t="s">
        <v>234</v>
      </c>
      <c r="C41" s="130" t="s">
        <v>234</v>
      </c>
      <c r="D41" s="127">
        <v>1150952.4653769452</v>
      </c>
      <c r="E41" s="125">
        <v>0</v>
      </c>
      <c r="F41" s="125">
        <v>448295</v>
      </c>
      <c r="G41" s="126">
        <v>0</v>
      </c>
      <c r="H41" s="129">
        <f t="shared" si="3"/>
        <v>127181</v>
      </c>
      <c r="I41" s="125">
        <v>463187</v>
      </c>
      <c r="J41" s="126"/>
      <c r="K41" s="129">
        <f t="shared" si="4"/>
        <v>112289</v>
      </c>
      <c r="L41" s="125">
        <f t="shared" si="5"/>
        <v>239470</v>
      </c>
    </row>
    <row r="42" spans="1:12" ht="13.5" customHeight="1" x14ac:dyDescent="0.3">
      <c r="A42" s="130">
        <v>51001</v>
      </c>
      <c r="B42" s="20" t="s">
        <v>235</v>
      </c>
      <c r="C42" s="130" t="s">
        <v>235</v>
      </c>
      <c r="D42" s="127">
        <v>16175924.07532794</v>
      </c>
      <c r="E42" s="125">
        <v>1628.2679999999818</v>
      </c>
      <c r="F42" s="125">
        <v>1216278</v>
      </c>
      <c r="G42" s="126">
        <v>0</v>
      </c>
      <c r="H42" s="129">
        <f t="shared" si="3"/>
        <v>6870870</v>
      </c>
      <c r="I42" s="125">
        <v>1362062</v>
      </c>
      <c r="J42" s="126"/>
      <c r="K42" s="129">
        <f t="shared" si="4"/>
        <v>6725086</v>
      </c>
      <c r="L42" s="125">
        <f t="shared" si="5"/>
        <v>13595956</v>
      </c>
    </row>
    <row r="43" spans="1:12" ht="13.5" customHeight="1" x14ac:dyDescent="0.3">
      <c r="A43" s="130">
        <v>64002</v>
      </c>
      <c r="B43" s="20" t="s">
        <v>236</v>
      </c>
      <c r="C43" s="130" t="s">
        <v>236</v>
      </c>
      <c r="D43" s="127">
        <v>2286030.5953696072</v>
      </c>
      <c r="E43" s="125">
        <v>0</v>
      </c>
      <c r="F43" s="125">
        <v>160758</v>
      </c>
      <c r="G43" s="126">
        <v>0</v>
      </c>
      <c r="H43" s="129">
        <f t="shared" si="3"/>
        <v>982257</v>
      </c>
      <c r="I43" s="125">
        <v>174651</v>
      </c>
      <c r="J43" s="126"/>
      <c r="K43" s="129">
        <f t="shared" si="4"/>
        <v>968364</v>
      </c>
      <c r="L43" s="125">
        <f t="shared" si="5"/>
        <v>1950621</v>
      </c>
    </row>
    <row r="44" spans="1:12" ht="13.5" customHeight="1" x14ac:dyDescent="0.3">
      <c r="A44" s="130">
        <v>20001</v>
      </c>
      <c r="B44" s="20" t="s">
        <v>237</v>
      </c>
      <c r="C44" s="130" t="s">
        <v>237</v>
      </c>
      <c r="D44" s="127">
        <v>2199951.6450369107</v>
      </c>
      <c r="E44" s="125">
        <v>0</v>
      </c>
      <c r="F44" s="125">
        <v>205489</v>
      </c>
      <c r="G44" s="126">
        <v>0</v>
      </c>
      <c r="H44" s="129">
        <f t="shared" si="3"/>
        <v>894487</v>
      </c>
      <c r="I44" s="125">
        <v>216172</v>
      </c>
      <c r="J44" s="126"/>
      <c r="K44" s="129">
        <f t="shared" si="4"/>
        <v>883804</v>
      </c>
      <c r="L44" s="125">
        <f t="shared" si="5"/>
        <v>1778291</v>
      </c>
    </row>
    <row r="45" spans="1:12" ht="13.5" customHeight="1" x14ac:dyDescent="0.3">
      <c r="A45" s="130">
        <v>23001</v>
      </c>
      <c r="B45" s="20" t="s">
        <v>238</v>
      </c>
      <c r="C45" s="130" t="s">
        <v>238</v>
      </c>
      <c r="D45" s="127">
        <v>1108461.1084980741</v>
      </c>
      <c r="E45" s="125">
        <v>21393.609999999986</v>
      </c>
      <c r="F45" s="125">
        <v>294431</v>
      </c>
      <c r="G45" s="126">
        <v>0</v>
      </c>
      <c r="H45" s="129">
        <f t="shared" si="3"/>
        <v>249103</v>
      </c>
      <c r="I45" s="125">
        <v>338974</v>
      </c>
      <c r="J45" s="126"/>
      <c r="K45" s="129">
        <f t="shared" si="4"/>
        <v>204560</v>
      </c>
      <c r="L45" s="125">
        <f t="shared" si="5"/>
        <v>453663</v>
      </c>
    </row>
    <row r="46" spans="1:12" ht="13.5" customHeight="1" x14ac:dyDescent="0.3">
      <c r="A46" s="130">
        <v>22005</v>
      </c>
      <c r="B46" s="20" t="s">
        <v>239</v>
      </c>
      <c r="C46" s="130" t="s">
        <v>239</v>
      </c>
      <c r="D46" s="127">
        <v>977092.57634719484</v>
      </c>
      <c r="E46" s="125">
        <v>0</v>
      </c>
      <c r="F46" s="125">
        <v>547880</v>
      </c>
      <c r="G46" s="126">
        <v>0</v>
      </c>
      <c r="H46" s="129">
        <f t="shared" si="3"/>
        <v>0</v>
      </c>
      <c r="I46" s="125">
        <v>567948</v>
      </c>
      <c r="J46" s="126"/>
      <c r="K46" s="129">
        <f t="shared" si="4"/>
        <v>0</v>
      </c>
      <c r="L46" s="125">
        <f t="shared" si="5"/>
        <v>0</v>
      </c>
    </row>
    <row r="47" spans="1:12" ht="13.5" customHeight="1" x14ac:dyDescent="0.3">
      <c r="A47" s="130">
        <v>16002</v>
      </c>
      <c r="B47" s="20" t="s">
        <v>240</v>
      </c>
      <c r="C47" s="130" t="s">
        <v>240</v>
      </c>
      <c r="D47" s="127">
        <v>90407.142295469996</v>
      </c>
      <c r="E47" s="125">
        <v>0</v>
      </c>
      <c r="F47" s="125">
        <v>95616</v>
      </c>
      <c r="G47" s="126">
        <v>106448</v>
      </c>
      <c r="H47" s="129">
        <f t="shared" si="3"/>
        <v>0</v>
      </c>
      <c r="I47" s="125">
        <v>75630</v>
      </c>
      <c r="J47" s="126"/>
      <c r="K47" s="129">
        <f t="shared" si="4"/>
        <v>0</v>
      </c>
      <c r="L47" s="125">
        <f t="shared" si="5"/>
        <v>0</v>
      </c>
    </row>
    <row r="48" spans="1:12" ht="13.5" customHeight="1" x14ac:dyDescent="0.3">
      <c r="A48" s="130">
        <v>61007</v>
      </c>
      <c r="B48" s="20" t="s">
        <v>241</v>
      </c>
      <c r="C48" s="130" t="s">
        <v>241</v>
      </c>
      <c r="D48" s="127">
        <v>3826308.4377667378</v>
      </c>
      <c r="E48" s="125">
        <v>0</v>
      </c>
      <c r="F48" s="125">
        <v>719387</v>
      </c>
      <c r="G48" s="126">
        <v>0</v>
      </c>
      <c r="H48" s="129">
        <f t="shared" si="3"/>
        <v>1193767</v>
      </c>
      <c r="I48" s="125">
        <v>732245</v>
      </c>
      <c r="J48" s="126"/>
      <c r="K48" s="129">
        <f t="shared" si="4"/>
        <v>1180909</v>
      </c>
      <c r="L48" s="125">
        <f t="shared" si="5"/>
        <v>2374676</v>
      </c>
    </row>
    <row r="49" spans="1:12" ht="13.5" customHeight="1" x14ac:dyDescent="0.3">
      <c r="A49" s="130">
        <v>5003</v>
      </c>
      <c r="B49" s="20" t="s">
        <v>242</v>
      </c>
      <c r="C49" s="130" t="s">
        <v>242</v>
      </c>
      <c r="D49" s="127">
        <v>2142050.7582201953</v>
      </c>
      <c r="E49" s="125">
        <v>18746.713999999978</v>
      </c>
      <c r="F49" s="125">
        <v>860653</v>
      </c>
      <c r="G49" s="126">
        <v>0</v>
      </c>
      <c r="H49" s="129">
        <f t="shared" si="3"/>
        <v>200999</v>
      </c>
      <c r="I49" s="125">
        <v>891967</v>
      </c>
      <c r="J49" s="126"/>
      <c r="K49" s="129">
        <f t="shared" si="4"/>
        <v>169685</v>
      </c>
      <c r="L49" s="125">
        <f t="shared" si="5"/>
        <v>370684</v>
      </c>
    </row>
    <row r="50" spans="1:12" ht="13.5" customHeight="1" x14ac:dyDescent="0.3">
      <c r="A50" s="130">
        <v>28002</v>
      </c>
      <c r="B50" s="20" t="s">
        <v>243</v>
      </c>
      <c r="C50" s="130" t="s">
        <v>243</v>
      </c>
      <c r="D50" s="127">
        <v>1756811.7865594968</v>
      </c>
      <c r="E50" s="125">
        <v>35415.175999999992</v>
      </c>
      <c r="F50" s="125">
        <v>463418</v>
      </c>
      <c r="G50" s="126">
        <v>0</v>
      </c>
      <c r="H50" s="129">
        <f t="shared" si="3"/>
        <v>397280</v>
      </c>
      <c r="I50" s="125">
        <v>517795</v>
      </c>
      <c r="J50" s="126"/>
      <c r="K50" s="129">
        <f t="shared" si="4"/>
        <v>342903</v>
      </c>
      <c r="L50" s="125">
        <f t="shared" si="5"/>
        <v>740183</v>
      </c>
    </row>
    <row r="51" spans="1:12" ht="13.5" customHeight="1" x14ac:dyDescent="0.3">
      <c r="A51" s="130">
        <v>17001</v>
      </c>
      <c r="B51" s="20" t="s">
        <v>244</v>
      </c>
      <c r="C51" s="130" t="s">
        <v>244</v>
      </c>
      <c r="D51" s="127">
        <v>1801195.9470017073</v>
      </c>
      <c r="E51" s="125">
        <v>0</v>
      </c>
      <c r="F51" s="125">
        <v>158793</v>
      </c>
      <c r="G51" s="126">
        <v>0</v>
      </c>
      <c r="H51" s="129">
        <f t="shared" si="3"/>
        <v>741805</v>
      </c>
      <c r="I51" s="125">
        <v>167319</v>
      </c>
      <c r="J51" s="126"/>
      <c r="K51" s="129">
        <f t="shared" si="4"/>
        <v>733279</v>
      </c>
      <c r="L51" s="125">
        <f t="shared" si="5"/>
        <v>1475084</v>
      </c>
    </row>
    <row r="52" spans="1:12" ht="13.5" customHeight="1" x14ac:dyDescent="0.3">
      <c r="A52" s="130">
        <v>44001</v>
      </c>
      <c r="B52" s="20" t="s">
        <v>245</v>
      </c>
      <c r="C52" s="130" t="s">
        <v>245</v>
      </c>
      <c r="D52" s="127">
        <v>1091701.015195606</v>
      </c>
      <c r="E52" s="125">
        <v>0</v>
      </c>
      <c r="F52" s="125">
        <v>451161</v>
      </c>
      <c r="G52" s="126">
        <v>0</v>
      </c>
      <c r="H52" s="129">
        <f t="shared" si="3"/>
        <v>94690</v>
      </c>
      <c r="I52" s="125">
        <v>490727</v>
      </c>
      <c r="J52" s="126"/>
      <c r="K52" s="129">
        <f t="shared" si="4"/>
        <v>55124</v>
      </c>
      <c r="L52" s="125">
        <f t="shared" si="5"/>
        <v>149814</v>
      </c>
    </row>
    <row r="53" spans="1:12" ht="13.5" customHeight="1" x14ac:dyDescent="0.3">
      <c r="A53" s="130">
        <v>46002</v>
      </c>
      <c r="B53" s="20" t="s">
        <v>246</v>
      </c>
      <c r="C53" s="130" t="s">
        <v>246</v>
      </c>
      <c r="D53" s="127">
        <v>1230928.01433063</v>
      </c>
      <c r="E53" s="125">
        <v>0</v>
      </c>
      <c r="F53" s="125">
        <v>132117</v>
      </c>
      <c r="G53" s="126">
        <v>0</v>
      </c>
      <c r="H53" s="129">
        <f t="shared" si="3"/>
        <v>483347</v>
      </c>
      <c r="I53" s="125">
        <v>140216</v>
      </c>
      <c r="J53" s="126"/>
      <c r="K53" s="129">
        <f t="shared" si="4"/>
        <v>475248</v>
      </c>
      <c r="L53" s="125">
        <f t="shared" si="5"/>
        <v>958595</v>
      </c>
    </row>
    <row r="54" spans="1:12" ht="13.5" customHeight="1" x14ac:dyDescent="0.3">
      <c r="A54" s="130">
        <v>24004</v>
      </c>
      <c r="B54" s="20" t="s">
        <v>374</v>
      </c>
      <c r="C54" s="130" t="s">
        <v>374</v>
      </c>
      <c r="D54" s="127">
        <v>2050144.4307797989</v>
      </c>
      <c r="E54" s="125">
        <v>32516.793999999994</v>
      </c>
      <c r="F54" s="125">
        <v>849229</v>
      </c>
      <c r="G54" s="126">
        <v>0</v>
      </c>
      <c r="H54" s="129">
        <f t="shared" si="3"/>
        <v>159585</v>
      </c>
      <c r="I54" s="125">
        <v>861840</v>
      </c>
      <c r="J54" s="126"/>
      <c r="K54" s="129">
        <f t="shared" si="4"/>
        <v>146974</v>
      </c>
      <c r="L54" s="125">
        <f t="shared" si="5"/>
        <v>306559</v>
      </c>
    </row>
    <row r="55" spans="1:12" ht="13.5" customHeight="1" x14ac:dyDescent="0.3">
      <c r="A55" s="130">
        <v>50003</v>
      </c>
      <c r="B55" s="20" t="s">
        <v>248</v>
      </c>
      <c r="C55" s="130" t="s">
        <v>248</v>
      </c>
      <c r="D55" s="127">
        <v>3911318.9691067245</v>
      </c>
      <c r="E55" s="125">
        <v>0</v>
      </c>
      <c r="F55" s="125">
        <v>542828</v>
      </c>
      <c r="G55" s="126">
        <v>0</v>
      </c>
      <c r="H55" s="129">
        <f t="shared" si="3"/>
        <v>1412831</v>
      </c>
      <c r="I55" s="125">
        <v>591511</v>
      </c>
      <c r="J55" s="126"/>
      <c r="K55" s="129">
        <f t="shared" si="4"/>
        <v>1364148</v>
      </c>
      <c r="L55" s="125">
        <f t="shared" si="5"/>
        <v>2776979</v>
      </c>
    </row>
    <row r="56" spans="1:12" ht="13.5" customHeight="1" x14ac:dyDescent="0.3">
      <c r="A56" s="130">
        <v>14001</v>
      </c>
      <c r="B56" s="20" t="s">
        <v>249</v>
      </c>
      <c r="C56" s="130" t="s">
        <v>249</v>
      </c>
      <c r="D56" s="127">
        <v>1725798.1018475124</v>
      </c>
      <c r="E56" s="125">
        <v>1727.2979999999952</v>
      </c>
      <c r="F56" s="125">
        <v>139447</v>
      </c>
      <c r="G56" s="126">
        <v>0</v>
      </c>
      <c r="H56" s="129">
        <f t="shared" si="3"/>
        <v>722588</v>
      </c>
      <c r="I56" s="125">
        <v>147425</v>
      </c>
      <c r="J56" s="126"/>
      <c r="K56" s="129">
        <f t="shared" si="4"/>
        <v>714610</v>
      </c>
      <c r="L56" s="125">
        <f t="shared" si="5"/>
        <v>1437198</v>
      </c>
    </row>
    <row r="57" spans="1:12" ht="13.5" customHeight="1" x14ac:dyDescent="0.3">
      <c r="A57" s="130">
        <v>6002</v>
      </c>
      <c r="B57" s="20" t="s">
        <v>250</v>
      </c>
      <c r="C57" s="130" t="s">
        <v>250</v>
      </c>
      <c r="D57" s="127">
        <v>1135305.0753642677</v>
      </c>
      <c r="E57" s="125">
        <v>7328.9679999999789</v>
      </c>
      <c r="F57" s="125">
        <v>300883</v>
      </c>
      <c r="G57" s="126">
        <v>0</v>
      </c>
      <c r="H57" s="129">
        <f t="shared" si="3"/>
        <v>263105</v>
      </c>
      <c r="I57" s="125">
        <v>330209</v>
      </c>
      <c r="J57" s="126"/>
      <c r="K57" s="129">
        <f t="shared" si="4"/>
        <v>233779</v>
      </c>
      <c r="L57" s="125">
        <f t="shared" si="5"/>
        <v>496884</v>
      </c>
    </row>
    <row r="58" spans="1:12" ht="13.5" customHeight="1" x14ac:dyDescent="0.3">
      <c r="A58" s="130">
        <v>33001</v>
      </c>
      <c r="B58" s="20" t="s">
        <v>251</v>
      </c>
      <c r="C58" s="130" t="s">
        <v>251</v>
      </c>
      <c r="D58" s="127">
        <v>2131759.9988641511</v>
      </c>
      <c r="E58" s="125">
        <v>12400.321999999986</v>
      </c>
      <c r="F58" s="125">
        <v>501596</v>
      </c>
      <c r="G58" s="126">
        <v>0</v>
      </c>
      <c r="H58" s="129">
        <f t="shared" si="3"/>
        <v>558084</v>
      </c>
      <c r="I58" s="125">
        <v>522881</v>
      </c>
      <c r="J58" s="126"/>
      <c r="K58" s="129">
        <f t="shared" si="4"/>
        <v>536799</v>
      </c>
      <c r="L58" s="125">
        <f t="shared" si="5"/>
        <v>1094883</v>
      </c>
    </row>
    <row r="59" spans="1:12" ht="13.5" customHeight="1" x14ac:dyDescent="0.3">
      <c r="A59" s="130">
        <v>49004</v>
      </c>
      <c r="B59" s="20" t="s">
        <v>252</v>
      </c>
      <c r="C59" s="130" t="s">
        <v>252</v>
      </c>
      <c r="D59" s="127">
        <v>2850235.9599997867</v>
      </c>
      <c r="E59" s="125">
        <v>18969.546000000002</v>
      </c>
      <c r="F59" s="125">
        <v>423449</v>
      </c>
      <c r="G59" s="126">
        <v>0</v>
      </c>
      <c r="H59" s="129">
        <f t="shared" si="3"/>
        <v>992184</v>
      </c>
      <c r="I59" s="125">
        <v>454741</v>
      </c>
      <c r="J59" s="126"/>
      <c r="K59" s="129">
        <f t="shared" si="4"/>
        <v>960892</v>
      </c>
      <c r="L59" s="125">
        <f t="shared" si="5"/>
        <v>1953076</v>
      </c>
    </row>
    <row r="60" spans="1:12" ht="13.5" customHeight="1" x14ac:dyDescent="0.3">
      <c r="A60" s="130">
        <v>63001</v>
      </c>
      <c r="B60" s="20" t="s">
        <v>253</v>
      </c>
      <c r="C60" s="130" t="s">
        <v>253</v>
      </c>
      <c r="D60" s="127">
        <v>1925706.2250950215</v>
      </c>
      <c r="E60" s="125">
        <v>0</v>
      </c>
      <c r="F60" s="125">
        <v>151125</v>
      </c>
      <c r="G60" s="126">
        <v>0</v>
      </c>
      <c r="H60" s="129">
        <f t="shared" si="3"/>
        <v>811728</v>
      </c>
      <c r="I60" s="125">
        <v>157827</v>
      </c>
      <c r="J60" s="126"/>
      <c r="K60" s="129">
        <f t="shared" si="4"/>
        <v>805026</v>
      </c>
      <c r="L60" s="125">
        <f t="shared" si="5"/>
        <v>1616754</v>
      </c>
    </row>
    <row r="61" spans="1:12" ht="13.5" customHeight="1" x14ac:dyDescent="0.3">
      <c r="A61" s="130">
        <v>53001</v>
      </c>
      <c r="B61" s="20" t="s">
        <v>254</v>
      </c>
      <c r="C61" s="130" t="s">
        <v>254</v>
      </c>
      <c r="D61" s="127">
        <v>1624480.0017933962</v>
      </c>
      <c r="E61" s="125">
        <v>46024.117999999973</v>
      </c>
      <c r="F61" s="125">
        <v>338223</v>
      </c>
      <c r="G61" s="126">
        <v>0</v>
      </c>
      <c r="H61" s="129">
        <f t="shared" si="3"/>
        <v>451005</v>
      </c>
      <c r="I61" s="125">
        <v>362480</v>
      </c>
      <c r="J61" s="126"/>
      <c r="K61" s="129">
        <f t="shared" si="4"/>
        <v>426748</v>
      </c>
      <c r="L61" s="125">
        <f t="shared" si="5"/>
        <v>877753</v>
      </c>
    </row>
    <row r="62" spans="1:12" ht="13.5" customHeight="1" x14ac:dyDescent="0.3">
      <c r="A62" s="130">
        <v>26004</v>
      </c>
      <c r="B62" s="20" t="s">
        <v>255</v>
      </c>
      <c r="C62" s="130" t="s">
        <v>255</v>
      </c>
      <c r="D62" s="127">
        <v>2343854.0204425659</v>
      </c>
      <c r="E62" s="125">
        <v>12572.556000000011</v>
      </c>
      <c r="F62" s="125">
        <v>372074</v>
      </c>
      <c r="G62" s="126">
        <v>0</v>
      </c>
      <c r="H62" s="129">
        <f t="shared" si="3"/>
        <v>793567</v>
      </c>
      <c r="I62" s="125">
        <v>407636</v>
      </c>
      <c r="J62" s="126"/>
      <c r="K62" s="129">
        <f t="shared" si="4"/>
        <v>758005</v>
      </c>
      <c r="L62" s="125">
        <f t="shared" si="5"/>
        <v>1551572</v>
      </c>
    </row>
    <row r="63" spans="1:12" ht="13.5" customHeight="1" x14ac:dyDescent="0.3">
      <c r="A63" s="131">
        <v>6006</v>
      </c>
      <c r="B63" s="20" t="s">
        <v>256</v>
      </c>
      <c r="C63" s="130" t="s">
        <v>256</v>
      </c>
      <c r="D63" s="127">
        <v>3254941.2208026238</v>
      </c>
      <c r="E63" s="125">
        <v>140455.174</v>
      </c>
      <c r="F63" s="125">
        <v>1572236</v>
      </c>
      <c r="G63" s="126">
        <v>0</v>
      </c>
      <c r="H63" s="129">
        <f t="shared" si="3"/>
        <v>0</v>
      </c>
      <c r="I63" s="125">
        <v>1543242</v>
      </c>
      <c r="J63" s="126"/>
      <c r="K63" s="129">
        <f t="shared" si="4"/>
        <v>14001</v>
      </c>
      <c r="L63" s="125">
        <f t="shared" si="5"/>
        <v>14001</v>
      </c>
    </row>
    <row r="64" spans="1:12" ht="13.5" customHeight="1" x14ac:dyDescent="0.3">
      <c r="A64" s="130">
        <v>27001</v>
      </c>
      <c r="B64" s="20" t="s">
        <v>257</v>
      </c>
      <c r="C64" s="130" t="s">
        <v>257</v>
      </c>
      <c r="D64" s="127">
        <v>2017181.402544</v>
      </c>
      <c r="E64" s="125">
        <v>7787.045999999973</v>
      </c>
      <c r="F64" s="125">
        <v>488764</v>
      </c>
      <c r="G64" s="126">
        <v>54365</v>
      </c>
      <c r="H64" s="129">
        <f t="shared" si="3"/>
        <v>488751</v>
      </c>
      <c r="I64" s="125">
        <v>473315</v>
      </c>
      <c r="J64" s="126"/>
      <c r="K64" s="129">
        <f t="shared" si="4"/>
        <v>504200</v>
      </c>
      <c r="L64" s="125">
        <f t="shared" si="5"/>
        <v>992951</v>
      </c>
    </row>
    <row r="65" spans="1:12" ht="13.5" customHeight="1" x14ac:dyDescent="0.3">
      <c r="A65" s="130">
        <v>28003</v>
      </c>
      <c r="B65" s="20" t="s">
        <v>258</v>
      </c>
      <c r="C65" s="130" t="s">
        <v>258</v>
      </c>
      <c r="D65" s="127">
        <v>4520357.1147734998</v>
      </c>
      <c r="E65" s="125">
        <v>69561.483999999997</v>
      </c>
      <c r="F65" s="125">
        <v>796858</v>
      </c>
      <c r="G65" s="126">
        <v>0</v>
      </c>
      <c r="H65" s="129">
        <f t="shared" si="3"/>
        <v>1428540</v>
      </c>
      <c r="I65" s="125">
        <v>887899</v>
      </c>
      <c r="J65" s="126"/>
      <c r="K65" s="129">
        <f t="shared" si="4"/>
        <v>1337499</v>
      </c>
      <c r="L65" s="125">
        <f t="shared" si="5"/>
        <v>2766039</v>
      </c>
    </row>
    <row r="66" spans="1:12" ht="13.5" customHeight="1" x14ac:dyDescent="0.3">
      <c r="A66" s="130">
        <v>30001</v>
      </c>
      <c r="B66" s="20" t="s">
        <v>259</v>
      </c>
      <c r="C66" s="130" t="s">
        <v>259</v>
      </c>
      <c r="D66" s="127">
        <v>2502347.4372228612</v>
      </c>
      <c r="E66" s="125">
        <v>32460.417999999991</v>
      </c>
      <c r="F66" s="125">
        <v>403380</v>
      </c>
      <c r="G66" s="126">
        <v>0</v>
      </c>
      <c r="H66" s="129">
        <f t="shared" si="3"/>
        <v>831564</v>
      </c>
      <c r="I66" s="125">
        <v>417960</v>
      </c>
      <c r="J66" s="126"/>
      <c r="K66" s="129">
        <f t="shared" si="4"/>
        <v>816984</v>
      </c>
      <c r="L66" s="125">
        <f t="shared" si="5"/>
        <v>1648548</v>
      </c>
    </row>
    <row r="67" spans="1:12" ht="13.5" customHeight="1" x14ac:dyDescent="0.3">
      <c r="A67" s="136">
        <v>31001</v>
      </c>
      <c r="B67" s="20" t="s">
        <v>260</v>
      </c>
      <c r="C67" s="136" t="s">
        <v>260</v>
      </c>
      <c r="D67" s="135">
        <v>1358324.2522522521</v>
      </c>
      <c r="E67" s="132">
        <v>207327.43000000002</v>
      </c>
      <c r="F67" s="132">
        <v>381990</v>
      </c>
      <c r="G67" s="134">
        <v>0</v>
      </c>
      <c r="H67" s="133">
        <f t="shared" si="3"/>
        <v>193508</v>
      </c>
      <c r="I67" s="132">
        <v>386895</v>
      </c>
      <c r="J67" s="134"/>
      <c r="K67" s="133">
        <f t="shared" si="4"/>
        <v>188603</v>
      </c>
      <c r="L67" s="132">
        <f t="shared" si="5"/>
        <v>382111</v>
      </c>
    </row>
    <row r="68" spans="1:12" ht="13.5" customHeight="1" x14ac:dyDescent="0.3">
      <c r="A68" s="130">
        <v>41002</v>
      </c>
      <c r="B68" s="20" t="s">
        <v>261</v>
      </c>
      <c r="C68" s="130" t="s">
        <v>261</v>
      </c>
      <c r="D68" s="127">
        <v>26848250.773859091</v>
      </c>
      <c r="E68" s="125">
        <v>0</v>
      </c>
      <c r="F68" s="125">
        <v>4983267</v>
      </c>
      <c r="G68" s="126">
        <v>0</v>
      </c>
      <c r="H68" s="129">
        <f t="shared" si="3"/>
        <v>8440858</v>
      </c>
      <c r="I68" s="125">
        <v>5876430</v>
      </c>
      <c r="J68" s="126"/>
      <c r="K68" s="129">
        <f t="shared" si="4"/>
        <v>7547695</v>
      </c>
      <c r="L68" s="125">
        <f t="shared" si="5"/>
        <v>15988553</v>
      </c>
    </row>
    <row r="69" spans="1:12" ht="13.5" customHeight="1" x14ac:dyDescent="0.3">
      <c r="A69" s="130">
        <v>14002</v>
      </c>
      <c r="B69" s="20" t="s">
        <v>262</v>
      </c>
      <c r="C69" s="130" t="s">
        <v>262</v>
      </c>
      <c r="D69" s="127">
        <v>1223973.6187694399</v>
      </c>
      <c r="E69" s="125">
        <v>3309.112000000001</v>
      </c>
      <c r="F69" s="125">
        <v>120977</v>
      </c>
      <c r="G69" s="126">
        <v>0</v>
      </c>
      <c r="H69" s="129">
        <f t="shared" ref="H69:H100" si="6">IF(((0.5*D69)-(0.5*E69)-(0.5*G69)-F69)&lt;0,0,ROUND((0.5*D69)-(0.5*E69)-(0.5*G69)-F69,0))</f>
        <v>489355</v>
      </c>
      <c r="I69" s="125">
        <v>126744</v>
      </c>
      <c r="J69" s="126"/>
      <c r="K69" s="129">
        <f t="shared" ref="K69:K100" si="7">IF(((0.5*D69)-(0.5*E69)-(0.5*G69)-I69-J69)&lt;0,0,ROUND((0.5*D69)-(0.5*E69)-(0.5*G69)-I69-J69,0))</f>
        <v>483588</v>
      </c>
      <c r="L69" s="125">
        <f t="shared" ref="L69:L100" si="8">H69+K69</f>
        <v>972943</v>
      </c>
    </row>
    <row r="70" spans="1:12" ht="13.5" customHeight="1" x14ac:dyDescent="0.3">
      <c r="A70" s="130">
        <v>10001</v>
      </c>
      <c r="B70" s="20" t="s">
        <v>263</v>
      </c>
      <c r="C70" s="130" t="s">
        <v>263</v>
      </c>
      <c r="D70" s="127">
        <v>827573.07178160991</v>
      </c>
      <c r="E70" s="125">
        <v>21907.340000000011</v>
      </c>
      <c r="F70" s="125">
        <v>286808</v>
      </c>
      <c r="G70" s="126">
        <v>0</v>
      </c>
      <c r="H70" s="129">
        <f t="shared" si="6"/>
        <v>116025</v>
      </c>
      <c r="I70" s="125">
        <v>325623</v>
      </c>
      <c r="J70" s="126"/>
      <c r="K70" s="129">
        <f t="shared" si="7"/>
        <v>77210</v>
      </c>
      <c r="L70" s="125">
        <f t="shared" si="8"/>
        <v>193235</v>
      </c>
    </row>
    <row r="71" spans="1:12" ht="13.5" customHeight="1" x14ac:dyDescent="0.3">
      <c r="A71" s="130">
        <v>34002</v>
      </c>
      <c r="B71" s="20" t="s">
        <v>264</v>
      </c>
      <c r="C71" s="130" t="s">
        <v>264</v>
      </c>
      <c r="D71" s="127">
        <v>1587337.22010272</v>
      </c>
      <c r="E71" s="125">
        <v>21903.709999999963</v>
      </c>
      <c r="F71" s="125">
        <v>738636</v>
      </c>
      <c r="G71" s="126">
        <v>227572</v>
      </c>
      <c r="H71" s="129">
        <f t="shared" si="6"/>
        <v>0</v>
      </c>
      <c r="I71" s="125">
        <v>743633</v>
      </c>
      <c r="J71" s="126"/>
      <c r="K71" s="129">
        <f t="shared" si="7"/>
        <v>0</v>
      </c>
      <c r="L71" s="125">
        <f t="shared" si="8"/>
        <v>0</v>
      </c>
    </row>
    <row r="72" spans="1:12" ht="13.5" customHeight="1" x14ac:dyDescent="0.3">
      <c r="A72" s="130">
        <v>51002</v>
      </c>
      <c r="B72" s="20" t="s">
        <v>265</v>
      </c>
      <c r="C72" s="130" t="s">
        <v>265</v>
      </c>
      <c r="D72" s="127">
        <v>2737031.5626170468</v>
      </c>
      <c r="E72" s="125">
        <v>15328.864000000001</v>
      </c>
      <c r="F72" s="125">
        <v>1397143</v>
      </c>
      <c r="G72" s="126">
        <v>0</v>
      </c>
      <c r="H72" s="129">
        <f t="shared" si="6"/>
        <v>0</v>
      </c>
      <c r="I72" s="125">
        <v>1508412</v>
      </c>
      <c r="J72" s="126"/>
      <c r="K72" s="129">
        <f t="shared" si="7"/>
        <v>0</v>
      </c>
      <c r="L72" s="125">
        <f t="shared" si="8"/>
        <v>0</v>
      </c>
    </row>
    <row r="73" spans="1:12" ht="13.5" customHeight="1" x14ac:dyDescent="0.3">
      <c r="A73" s="130">
        <v>56006</v>
      </c>
      <c r="B73" s="20" t="s">
        <v>266</v>
      </c>
      <c r="C73" s="130" t="s">
        <v>266</v>
      </c>
      <c r="D73" s="127">
        <v>1599598.8484958964</v>
      </c>
      <c r="E73" s="125">
        <v>25113.153999999995</v>
      </c>
      <c r="F73" s="125">
        <v>655879</v>
      </c>
      <c r="G73" s="126">
        <v>0</v>
      </c>
      <c r="H73" s="129">
        <f t="shared" si="6"/>
        <v>131364</v>
      </c>
      <c r="I73" s="125">
        <v>693212</v>
      </c>
      <c r="J73" s="126"/>
      <c r="K73" s="129">
        <f t="shared" si="7"/>
        <v>94031</v>
      </c>
      <c r="L73" s="125">
        <f t="shared" si="8"/>
        <v>225395</v>
      </c>
    </row>
    <row r="74" spans="1:12" ht="13.5" customHeight="1" x14ac:dyDescent="0.3">
      <c r="A74" s="130">
        <v>23002</v>
      </c>
      <c r="B74" s="20" t="s">
        <v>267</v>
      </c>
      <c r="C74" s="130" t="s">
        <v>267</v>
      </c>
      <c r="D74" s="127">
        <v>4236562.1407124586</v>
      </c>
      <c r="E74" s="125">
        <v>1519.3559999999707</v>
      </c>
      <c r="F74" s="125">
        <v>888663</v>
      </c>
      <c r="G74" s="126">
        <v>0</v>
      </c>
      <c r="H74" s="129">
        <f t="shared" si="6"/>
        <v>1228858</v>
      </c>
      <c r="I74" s="125">
        <v>948480</v>
      </c>
      <c r="J74" s="126"/>
      <c r="K74" s="129">
        <f t="shared" si="7"/>
        <v>1169041</v>
      </c>
      <c r="L74" s="125">
        <f t="shared" si="8"/>
        <v>2397899</v>
      </c>
    </row>
    <row r="75" spans="1:12" ht="13.5" customHeight="1" x14ac:dyDescent="0.3">
      <c r="A75" s="136">
        <v>53002</v>
      </c>
      <c r="B75" s="20" t="s">
        <v>268</v>
      </c>
      <c r="C75" s="136" t="s">
        <v>268</v>
      </c>
      <c r="D75" s="135">
        <v>714109.91785714286</v>
      </c>
      <c r="E75" s="132">
        <v>139291.39000000001</v>
      </c>
      <c r="F75" s="132">
        <v>563574</v>
      </c>
      <c r="G75" s="134">
        <v>190123</v>
      </c>
      <c r="H75" s="133">
        <f t="shared" si="6"/>
        <v>0</v>
      </c>
      <c r="I75" s="132">
        <v>579881</v>
      </c>
      <c r="J75" s="134"/>
      <c r="K75" s="133">
        <f t="shared" si="7"/>
        <v>0</v>
      </c>
      <c r="L75" s="132">
        <f t="shared" si="8"/>
        <v>0</v>
      </c>
    </row>
    <row r="76" spans="1:12" ht="13.5" customHeight="1" x14ac:dyDescent="0.3">
      <c r="A76" s="130">
        <v>48003</v>
      </c>
      <c r="B76" s="20" t="s">
        <v>269</v>
      </c>
      <c r="C76" s="130" t="s">
        <v>269</v>
      </c>
      <c r="D76" s="127">
        <v>2305746.3951274608</v>
      </c>
      <c r="E76" s="125">
        <v>0</v>
      </c>
      <c r="F76" s="125">
        <v>772915</v>
      </c>
      <c r="G76" s="126">
        <v>0</v>
      </c>
      <c r="H76" s="129">
        <f t="shared" si="6"/>
        <v>379958</v>
      </c>
      <c r="I76" s="125">
        <v>822681</v>
      </c>
      <c r="J76" s="126"/>
      <c r="K76" s="129">
        <f t="shared" si="7"/>
        <v>330192</v>
      </c>
      <c r="L76" s="125">
        <f t="shared" si="8"/>
        <v>710150</v>
      </c>
    </row>
    <row r="77" spans="1:12" ht="13.5" customHeight="1" x14ac:dyDescent="0.3">
      <c r="A77" s="130">
        <v>2002</v>
      </c>
      <c r="B77" s="20" t="s">
        <v>270</v>
      </c>
      <c r="C77" s="130" t="s">
        <v>270</v>
      </c>
      <c r="D77" s="127">
        <v>15695725.612457324</v>
      </c>
      <c r="E77" s="125">
        <v>0</v>
      </c>
      <c r="F77" s="125">
        <v>2189747</v>
      </c>
      <c r="G77" s="126">
        <v>0</v>
      </c>
      <c r="H77" s="129">
        <f t="shared" si="6"/>
        <v>5658116</v>
      </c>
      <c r="I77" s="125">
        <v>2235432</v>
      </c>
      <c r="J77" s="126"/>
      <c r="K77" s="129">
        <f t="shared" si="7"/>
        <v>5612431</v>
      </c>
      <c r="L77" s="125">
        <f t="shared" si="8"/>
        <v>11270547</v>
      </c>
    </row>
    <row r="78" spans="1:12" ht="13.5" customHeight="1" x14ac:dyDescent="0.3">
      <c r="A78" s="130">
        <v>22006</v>
      </c>
      <c r="B78" s="20" t="s">
        <v>271</v>
      </c>
      <c r="C78" s="130" t="s">
        <v>271</v>
      </c>
      <c r="D78" s="127">
        <v>2608471.6707913377</v>
      </c>
      <c r="E78" s="125">
        <v>0</v>
      </c>
      <c r="F78" s="125">
        <v>934261</v>
      </c>
      <c r="G78" s="126">
        <v>0</v>
      </c>
      <c r="H78" s="129">
        <f t="shared" si="6"/>
        <v>369975</v>
      </c>
      <c r="I78" s="125">
        <v>943127</v>
      </c>
      <c r="J78" s="126"/>
      <c r="K78" s="129">
        <f t="shared" si="7"/>
        <v>361109</v>
      </c>
      <c r="L78" s="125">
        <f t="shared" si="8"/>
        <v>731084</v>
      </c>
    </row>
    <row r="79" spans="1:12" ht="13.5" customHeight="1" x14ac:dyDescent="0.3">
      <c r="A79" s="130">
        <v>13003</v>
      </c>
      <c r="B79" s="20" t="s">
        <v>272</v>
      </c>
      <c r="C79" s="130" t="s">
        <v>272</v>
      </c>
      <c r="D79" s="127">
        <v>1874992.1446519154</v>
      </c>
      <c r="E79" s="125">
        <v>0</v>
      </c>
      <c r="F79" s="125">
        <v>487770</v>
      </c>
      <c r="G79" s="126">
        <v>0</v>
      </c>
      <c r="H79" s="129">
        <f t="shared" si="6"/>
        <v>449726</v>
      </c>
      <c r="I79" s="125">
        <v>505999</v>
      </c>
      <c r="J79" s="126"/>
      <c r="K79" s="129">
        <f t="shared" si="7"/>
        <v>431497</v>
      </c>
      <c r="L79" s="125">
        <f t="shared" si="8"/>
        <v>881223</v>
      </c>
    </row>
    <row r="80" spans="1:12" ht="13.5" customHeight="1" x14ac:dyDescent="0.3">
      <c r="A80" s="130">
        <v>2003</v>
      </c>
      <c r="B80" s="20" t="s">
        <v>273</v>
      </c>
      <c r="C80" s="130" t="s">
        <v>273</v>
      </c>
      <c r="D80" s="127">
        <v>1533463.0724871396</v>
      </c>
      <c r="E80" s="125">
        <v>16614.685999999987</v>
      </c>
      <c r="F80" s="125">
        <v>573762</v>
      </c>
      <c r="G80" s="126">
        <v>0</v>
      </c>
      <c r="H80" s="129">
        <f t="shared" si="6"/>
        <v>184662</v>
      </c>
      <c r="I80" s="125">
        <v>615587</v>
      </c>
      <c r="J80" s="126"/>
      <c r="K80" s="129">
        <f t="shared" si="7"/>
        <v>142837</v>
      </c>
      <c r="L80" s="125">
        <f t="shared" si="8"/>
        <v>327499</v>
      </c>
    </row>
    <row r="81" spans="1:12" ht="13.5" customHeight="1" x14ac:dyDescent="0.3">
      <c r="A81" s="130">
        <v>37003</v>
      </c>
      <c r="B81" s="20" t="s">
        <v>274</v>
      </c>
      <c r="C81" s="130" t="s">
        <v>274</v>
      </c>
      <c r="D81" s="127">
        <v>1244836.8054530099</v>
      </c>
      <c r="E81" s="125">
        <v>3332.4060000000172</v>
      </c>
      <c r="F81" s="125">
        <v>313429</v>
      </c>
      <c r="G81" s="126">
        <v>0</v>
      </c>
      <c r="H81" s="129">
        <f t="shared" si="6"/>
        <v>307323</v>
      </c>
      <c r="I81" s="125">
        <v>308850</v>
      </c>
      <c r="J81" s="126"/>
      <c r="K81" s="129">
        <f t="shared" si="7"/>
        <v>311902</v>
      </c>
      <c r="L81" s="125">
        <f t="shared" si="8"/>
        <v>619225</v>
      </c>
    </row>
    <row r="82" spans="1:12" ht="13.5" customHeight="1" x14ac:dyDescent="0.3">
      <c r="A82" s="130">
        <v>35002</v>
      </c>
      <c r="B82" s="20" t="s">
        <v>275</v>
      </c>
      <c r="C82" s="130" t="s">
        <v>275</v>
      </c>
      <c r="D82" s="127">
        <v>2080664.6882259515</v>
      </c>
      <c r="E82" s="125">
        <v>0</v>
      </c>
      <c r="F82" s="125">
        <v>364572</v>
      </c>
      <c r="G82" s="126">
        <v>0</v>
      </c>
      <c r="H82" s="129">
        <f t="shared" si="6"/>
        <v>675760</v>
      </c>
      <c r="I82" s="125">
        <v>372906</v>
      </c>
      <c r="J82" s="126"/>
      <c r="K82" s="129">
        <f t="shared" si="7"/>
        <v>667426</v>
      </c>
      <c r="L82" s="125">
        <f t="shared" si="8"/>
        <v>1343186</v>
      </c>
    </row>
    <row r="83" spans="1:12" ht="13.5" customHeight="1" x14ac:dyDescent="0.3">
      <c r="A83" s="130">
        <v>7002</v>
      </c>
      <c r="B83" s="20" t="s">
        <v>276</v>
      </c>
      <c r="C83" s="130" t="s">
        <v>276</v>
      </c>
      <c r="D83" s="127">
        <v>2003224.8055455375</v>
      </c>
      <c r="E83" s="125">
        <v>28057.385999999999</v>
      </c>
      <c r="F83" s="125">
        <v>465614</v>
      </c>
      <c r="G83" s="126">
        <v>0</v>
      </c>
      <c r="H83" s="129">
        <f t="shared" si="6"/>
        <v>521970</v>
      </c>
      <c r="I83" s="125">
        <v>484634</v>
      </c>
      <c r="J83" s="126"/>
      <c r="K83" s="129">
        <f t="shared" si="7"/>
        <v>502950</v>
      </c>
      <c r="L83" s="125">
        <f t="shared" si="8"/>
        <v>1024920</v>
      </c>
    </row>
    <row r="84" spans="1:12" ht="13.5" customHeight="1" x14ac:dyDescent="0.3">
      <c r="A84" s="130">
        <v>38003</v>
      </c>
      <c r="B84" s="20" t="s">
        <v>277</v>
      </c>
      <c r="C84" s="130" t="s">
        <v>277</v>
      </c>
      <c r="D84" s="127">
        <v>1142259.4709254575</v>
      </c>
      <c r="E84" s="125">
        <v>0</v>
      </c>
      <c r="F84" s="125">
        <v>327639</v>
      </c>
      <c r="G84" s="126">
        <v>0</v>
      </c>
      <c r="H84" s="129">
        <f t="shared" si="6"/>
        <v>243491</v>
      </c>
      <c r="I84" s="125">
        <v>356628</v>
      </c>
      <c r="J84" s="126"/>
      <c r="K84" s="129">
        <f t="shared" si="7"/>
        <v>214502</v>
      </c>
      <c r="L84" s="125">
        <f t="shared" si="8"/>
        <v>457993</v>
      </c>
    </row>
    <row r="85" spans="1:12" ht="13.5" customHeight="1" x14ac:dyDescent="0.3">
      <c r="A85" s="130">
        <v>45005</v>
      </c>
      <c r="B85" s="20" t="s">
        <v>278</v>
      </c>
      <c r="C85" s="130" t="s">
        <v>278</v>
      </c>
      <c r="D85" s="127">
        <v>1474625.4026707038</v>
      </c>
      <c r="E85" s="125">
        <v>2414.3199999999924</v>
      </c>
      <c r="F85" s="125">
        <v>503422</v>
      </c>
      <c r="G85" s="126">
        <v>0</v>
      </c>
      <c r="H85" s="129">
        <f t="shared" si="6"/>
        <v>232684</v>
      </c>
      <c r="I85" s="125">
        <v>498980</v>
      </c>
      <c r="J85" s="126"/>
      <c r="K85" s="129">
        <f t="shared" si="7"/>
        <v>237126</v>
      </c>
      <c r="L85" s="125">
        <f t="shared" si="8"/>
        <v>469810</v>
      </c>
    </row>
    <row r="86" spans="1:12" ht="13.5" customHeight="1" x14ac:dyDescent="0.3">
      <c r="A86" s="130">
        <v>40001</v>
      </c>
      <c r="B86" s="20" t="s">
        <v>279</v>
      </c>
      <c r="C86" s="130" t="s">
        <v>279</v>
      </c>
      <c r="D86" s="127">
        <v>4243516.536273649</v>
      </c>
      <c r="E86" s="125">
        <v>0</v>
      </c>
      <c r="F86" s="125">
        <v>2610953</v>
      </c>
      <c r="G86" s="126">
        <v>534877</v>
      </c>
      <c r="H86" s="129">
        <f t="shared" si="6"/>
        <v>0</v>
      </c>
      <c r="I86" s="125">
        <v>2699643</v>
      </c>
      <c r="J86" s="137"/>
      <c r="K86" s="129">
        <f t="shared" si="7"/>
        <v>0</v>
      </c>
      <c r="L86" s="125">
        <f t="shared" si="8"/>
        <v>0</v>
      </c>
    </row>
    <row r="87" spans="1:12" ht="13.5" customHeight="1" x14ac:dyDescent="0.3">
      <c r="A87" s="130">
        <v>52004</v>
      </c>
      <c r="B87" s="20" t="s">
        <v>280</v>
      </c>
      <c r="C87" s="130" t="s">
        <v>280</v>
      </c>
      <c r="D87" s="127">
        <v>1621506.9358913323</v>
      </c>
      <c r="E87" s="125">
        <v>28365.252000000037</v>
      </c>
      <c r="F87" s="125">
        <v>431405</v>
      </c>
      <c r="G87" s="126">
        <v>0</v>
      </c>
      <c r="H87" s="129">
        <f t="shared" si="6"/>
        <v>365166</v>
      </c>
      <c r="I87" s="125">
        <v>497297</v>
      </c>
      <c r="J87" s="126"/>
      <c r="K87" s="129">
        <f t="shared" si="7"/>
        <v>299274</v>
      </c>
      <c r="L87" s="125">
        <f t="shared" si="8"/>
        <v>664440</v>
      </c>
    </row>
    <row r="88" spans="1:12" ht="13.5" customHeight="1" x14ac:dyDescent="0.3">
      <c r="A88" s="130">
        <v>41004</v>
      </c>
      <c r="B88" s="20" t="s">
        <v>281</v>
      </c>
      <c r="C88" s="130" t="s">
        <v>281</v>
      </c>
      <c r="D88" s="127">
        <v>6252001.6095098108</v>
      </c>
      <c r="E88" s="125">
        <v>0</v>
      </c>
      <c r="F88" s="125">
        <v>1105930</v>
      </c>
      <c r="G88" s="126">
        <v>0</v>
      </c>
      <c r="H88" s="129">
        <f t="shared" si="6"/>
        <v>2020071</v>
      </c>
      <c r="I88" s="125">
        <v>1179128</v>
      </c>
      <c r="J88" s="126"/>
      <c r="K88" s="129">
        <f t="shared" si="7"/>
        <v>1946873</v>
      </c>
      <c r="L88" s="125">
        <f t="shared" si="8"/>
        <v>3966944</v>
      </c>
    </row>
    <row r="89" spans="1:12" ht="13.5" customHeight="1" x14ac:dyDescent="0.3">
      <c r="A89" s="130">
        <v>44002</v>
      </c>
      <c r="B89" s="20" t="s">
        <v>282</v>
      </c>
      <c r="C89" s="130" t="s">
        <v>282</v>
      </c>
      <c r="D89" s="127">
        <v>1434344.0844954373</v>
      </c>
      <c r="E89" s="125">
        <v>15475.362000000081</v>
      </c>
      <c r="F89" s="125">
        <v>355577</v>
      </c>
      <c r="G89" s="126">
        <v>0</v>
      </c>
      <c r="H89" s="129">
        <f t="shared" si="6"/>
        <v>353857</v>
      </c>
      <c r="I89" s="125">
        <v>367774</v>
      </c>
      <c r="J89" s="126"/>
      <c r="K89" s="129">
        <f t="shared" si="7"/>
        <v>341660</v>
      </c>
      <c r="L89" s="125">
        <f t="shared" si="8"/>
        <v>695517</v>
      </c>
    </row>
    <row r="90" spans="1:12" ht="13.5" customHeight="1" x14ac:dyDescent="0.3">
      <c r="A90" s="130">
        <v>42001</v>
      </c>
      <c r="B90" s="20" t="s">
        <v>283</v>
      </c>
      <c r="C90" s="130" t="s">
        <v>283</v>
      </c>
      <c r="D90" s="127">
        <v>2306055.5156471478</v>
      </c>
      <c r="E90" s="125">
        <v>0</v>
      </c>
      <c r="F90" s="125">
        <v>559383</v>
      </c>
      <c r="G90" s="126">
        <v>0</v>
      </c>
      <c r="H90" s="129">
        <f t="shared" si="6"/>
        <v>593645</v>
      </c>
      <c r="I90" s="125">
        <v>567701</v>
      </c>
      <c r="J90" s="126"/>
      <c r="K90" s="129">
        <f t="shared" si="7"/>
        <v>585327</v>
      </c>
      <c r="L90" s="125">
        <f t="shared" si="8"/>
        <v>1178972</v>
      </c>
    </row>
    <row r="91" spans="1:12" ht="13.5" customHeight="1" x14ac:dyDescent="0.3">
      <c r="A91" s="130">
        <v>39002</v>
      </c>
      <c r="B91" s="20" t="s">
        <v>284</v>
      </c>
      <c r="C91" s="130" t="s">
        <v>284</v>
      </c>
      <c r="D91" s="127">
        <v>6730742.1999421297</v>
      </c>
      <c r="E91" s="125">
        <v>39103.889999999956</v>
      </c>
      <c r="F91" s="125">
        <v>1599386</v>
      </c>
      <c r="G91" s="126">
        <v>0</v>
      </c>
      <c r="H91" s="129">
        <f t="shared" si="6"/>
        <v>1746433</v>
      </c>
      <c r="I91" s="125">
        <v>1650977</v>
      </c>
      <c r="J91" s="126"/>
      <c r="K91" s="129">
        <f t="shared" si="7"/>
        <v>1694842</v>
      </c>
      <c r="L91" s="125">
        <f t="shared" si="8"/>
        <v>3441275</v>
      </c>
    </row>
    <row r="92" spans="1:12" ht="13.5" customHeight="1" x14ac:dyDescent="0.3">
      <c r="A92" s="130">
        <v>60003</v>
      </c>
      <c r="B92" s="20" t="s">
        <v>285</v>
      </c>
      <c r="C92" s="130" t="s">
        <v>285</v>
      </c>
      <c r="D92" s="127">
        <v>1166599.8553896225</v>
      </c>
      <c r="E92" s="125">
        <v>0</v>
      </c>
      <c r="F92" s="125">
        <v>308909</v>
      </c>
      <c r="G92" s="126">
        <v>0</v>
      </c>
      <c r="H92" s="129">
        <f t="shared" si="6"/>
        <v>274391</v>
      </c>
      <c r="I92" s="125">
        <v>402231</v>
      </c>
      <c r="J92" s="126"/>
      <c r="K92" s="129">
        <f t="shared" si="7"/>
        <v>181069</v>
      </c>
      <c r="L92" s="125">
        <f t="shared" si="8"/>
        <v>455460</v>
      </c>
    </row>
    <row r="93" spans="1:12" ht="13.5" customHeight="1" x14ac:dyDescent="0.3">
      <c r="A93" s="130">
        <v>43007</v>
      </c>
      <c r="B93" s="20" t="s">
        <v>286</v>
      </c>
      <c r="C93" s="130" t="s">
        <v>286</v>
      </c>
      <c r="D93" s="127">
        <v>2374533.8919257764</v>
      </c>
      <c r="E93" s="125">
        <v>0</v>
      </c>
      <c r="F93" s="125">
        <v>429018</v>
      </c>
      <c r="G93" s="126">
        <v>0</v>
      </c>
      <c r="H93" s="129">
        <f t="shared" si="6"/>
        <v>758249</v>
      </c>
      <c r="I93" s="125">
        <v>443713</v>
      </c>
      <c r="J93" s="126"/>
      <c r="K93" s="129">
        <f t="shared" si="7"/>
        <v>743554</v>
      </c>
      <c r="L93" s="125">
        <f t="shared" si="8"/>
        <v>1501803</v>
      </c>
    </row>
    <row r="94" spans="1:12" ht="13.5" customHeight="1" x14ac:dyDescent="0.3">
      <c r="A94" s="130">
        <v>15001</v>
      </c>
      <c r="B94" s="20" t="s">
        <v>287</v>
      </c>
      <c r="C94" s="130" t="s">
        <v>287</v>
      </c>
      <c r="D94" s="127">
        <v>1189201.6409634901</v>
      </c>
      <c r="E94" s="125">
        <v>2187.9659999999931</v>
      </c>
      <c r="F94" s="125">
        <v>116958</v>
      </c>
      <c r="G94" s="126">
        <v>0</v>
      </c>
      <c r="H94" s="129">
        <f t="shared" si="6"/>
        <v>476549</v>
      </c>
      <c r="I94" s="125">
        <v>135224</v>
      </c>
      <c r="J94" s="126"/>
      <c r="K94" s="129">
        <f t="shared" si="7"/>
        <v>458283</v>
      </c>
      <c r="L94" s="125">
        <f t="shared" si="8"/>
        <v>934832</v>
      </c>
    </row>
    <row r="95" spans="1:12" ht="13.5" customHeight="1" x14ac:dyDescent="0.3">
      <c r="A95" s="130">
        <v>15002</v>
      </c>
      <c r="B95" s="20" t="s">
        <v>288</v>
      </c>
      <c r="C95" s="130" t="s">
        <v>288</v>
      </c>
      <c r="D95" s="127">
        <v>2683160.9410367953</v>
      </c>
      <c r="E95" s="125">
        <v>0</v>
      </c>
      <c r="F95" s="125">
        <v>171361</v>
      </c>
      <c r="G95" s="126">
        <v>0</v>
      </c>
      <c r="H95" s="129">
        <f t="shared" si="6"/>
        <v>1170219</v>
      </c>
      <c r="I95" s="125">
        <v>185511</v>
      </c>
      <c r="J95" s="126"/>
      <c r="K95" s="129">
        <f t="shared" si="7"/>
        <v>1156069</v>
      </c>
      <c r="L95" s="125">
        <f t="shared" si="8"/>
        <v>2326288</v>
      </c>
    </row>
    <row r="96" spans="1:12" ht="13.5" customHeight="1" x14ac:dyDescent="0.3">
      <c r="A96" s="130">
        <v>46001</v>
      </c>
      <c r="B96" s="20" t="s">
        <v>289</v>
      </c>
      <c r="C96" s="130" t="s">
        <v>289</v>
      </c>
      <c r="D96" s="127">
        <v>16015138.449953228</v>
      </c>
      <c r="E96" s="125">
        <v>0</v>
      </c>
      <c r="F96" s="125">
        <v>3282702</v>
      </c>
      <c r="G96" s="126">
        <v>0</v>
      </c>
      <c r="H96" s="129">
        <f t="shared" si="6"/>
        <v>4724867</v>
      </c>
      <c r="I96" s="125">
        <v>3505952</v>
      </c>
      <c r="J96" s="137"/>
      <c r="K96" s="129">
        <f t="shared" si="7"/>
        <v>4501617</v>
      </c>
      <c r="L96" s="125">
        <f t="shared" si="8"/>
        <v>9226484</v>
      </c>
    </row>
    <row r="97" spans="1:12" ht="13.5" customHeight="1" x14ac:dyDescent="0.3">
      <c r="A97" s="130">
        <v>33002</v>
      </c>
      <c r="B97" s="20" t="s">
        <v>290</v>
      </c>
      <c r="C97" s="130" t="s">
        <v>290</v>
      </c>
      <c r="D97" s="127">
        <v>1879387.0413424615</v>
      </c>
      <c r="E97" s="125">
        <v>0</v>
      </c>
      <c r="F97" s="125">
        <v>348400</v>
      </c>
      <c r="G97" s="126">
        <v>0</v>
      </c>
      <c r="H97" s="129">
        <f t="shared" si="6"/>
        <v>591294</v>
      </c>
      <c r="I97" s="125">
        <v>365326</v>
      </c>
      <c r="J97" s="126"/>
      <c r="K97" s="129">
        <f t="shared" si="7"/>
        <v>574368</v>
      </c>
      <c r="L97" s="125">
        <f t="shared" si="8"/>
        <v>1165662</v>
      </c>
    </row>
    <row r="98" spans="1:12" ht="13.5" customHeight="1" x14ac:dyDescent="0.3">
      <c r="A98" s="130">
        <v>25004</v>
      </c>
      <c r="B98" s="20" t="s">
        <v>291</v>
      </c>
      <c r="C98" s="130" t="s">
        <v>291</v>
      </c>
      <c r="D98" s="127">
        <v>5524293.6579868887</v>
      </c>
      <c r="E98" s="125">
        <v>0</v>
      </c>
      <c r="F98" s="125">
        <v>1417050</v>
      </c>
      <c r="G98" s="126">
        <v>0</v>
      </c>
      <c r="H98" s="129">
        <f t="shared" si="6"/>
        <v>1345097</v>
      </c>
      <c r="I98" s="125">
        <v>1485488</v>
      </c>
      <c r="J98" s="126"/>
      <c r="K98" s="129">
        <f t="shared" si="7"/>
        <v>1276659</v>
      </c>
      <c r="L98" s="125">
        <f t="shared" si="8"/>
        <v>2621756</v>
      </c>
    </row>
    <row r="99" spans="1:12" ht="13.5" customHeight="1" x14ac:dyDescent="0.3">
      <c r="A99" s="130">
        <v>29004</v>
      </c>
      <c r="B99" s="20" t="s">
        <v>292</v>
      </c>
      <c r="C99" s="130" t="s">
        <v>292</v>
      </c>
      <c r="D99" s="127">
        <v>2729396.8470261218</v>
      </c>
      <c r="E99" s="125">
        <v>0</v>
      </c>
      <c r="F99" s="125">
        <v>1125028</v>
      </c>
      <c r="G99" s="126">
        <v>0</v>
      </c>
      <c r="H99" s="129">
        <f t="shared" si="6"/>
        <v>239670</v>
      </c>
      <c r="I99" s="125">
        <v>1163387</v>
      </c>
      <c r="J99" s="126"/>
      <c r="K99" s="129">
        <f t="shared" si="7"/>
        <v>201311</v>
      </c>
      <c r="L99" s="125">
        <f t="shared" si="8"/>
        <v>440981</v>
      </c>
    </row>
    <row r="100" spans="1:12" ht="13.5" customHeight="1" x14ac:dyDescent="0.3">
      <c r="A100" s="130">
        <v>17002</v>
      </c>
      <c r="B100" s="20" t="s">
        <v>293</v>
      </c>
      <c r="C100" s="130" t="s">
        <v>293</v>
      </c>
      <c r="D100" s="127">
        <v>15609558.100824624</v>
      </c>
      <c r="E100" s="125">
        <v>0</v>
      </c>
      <c r="F100" s="125">
        <v>2890312</v>
      </c>
      <c r="G100" s="126">
        <v>0</v>
      </c>
      <c r="H100" s="129">
        <f t="shared" si="6"/>
        <v>4914467</v>
      </c>
      <c r="I100" s="125">
        <v>3124641</v>
      </c>
      <c r="J100" s="126"/>
      <c r="K100" s="129">
        <f t="shared" si="7"/>
        <v>4680138</v>
      </c>
      <c r="L100" s="125">
        <f t="shared" si="8"/>
        <v>9594605</v>
      </c>
    </row>
    <row r="101" spans="1:12" ht="13.5" customHeight="1" x14ac:dyDescent="0.3">
      <c r="A101" s="130">
        <v>62006</v>
      </c>
      <c r="B101" s="20" t="s">
        <v>294</v>
      </c>
      <c r="C101" s="130" t="s">
        <v>294</v>
      </c>
      <c r="D101" s="127">
        <v>3440589.8423608956</v>
      </c>
      <c r="E101" s="125">
        <v>117925.84399999998</v>
      </c>
      <c r="F101" s="125">
        <v>532555</v>
      </c>
      <c r="G101" s="126">
        <v>0</v>
      </c>
      <c r="H101" s="129">
        <f t="shared" ref="H101:H132" si="9">IF(((0.5*D101)-(0.5*E101)-(0.5*G101)-F101)&lt;0,0,ROUND((0.5*D101)-(0.5*E101)-(0.5*G101)-F101,0))</f>
        <v>1128777</v>
      </c>
      <c r="I101" s="125">
        <v>570810</v>
      </c>
      <c r="J101" s="126"/>
      <c r="K101" s="129">
        <f t="shared" ref="K101:K132" si="10">IF(((0.5*D101)-(0.5*E101)-(0.5*G101)-I101-J101)&lt;0,0,ROUND((0.5*D101)-(0.5*E101)-(0.5*G101)-I101-J101,0))</f>
        <v>1090522</v>
      </c>
      <c r="L101" s="125">
        <f t="shared" ref="L101:L132" si="11">H101+K101</f>
        <v>2219299</v>
      </c>
    </row>
    <row r="102" spans="1:12" ht="13.5" customHeight="1" x14ac:dyDescent="0.3">
      <c r="A102" s="130">
        <v>43002</v>
      </c>
      <c r="B102" s="20" t="s">
        <v>295</v>
      </c>
      <c r="C102" s="130" t="s">
        <v>295</v>
      </c>
      <c r="D102" s="127">
        <v>1654798.2116315437</v>
      </c>
      <c r="E102" s="125">
        <v>21305.853999999992</v>
      </c>
      <c r="F102" s="125">
        <v>218882</v>
      </c>
      <c r="G102" s="126">
        <v>0</v>
      </c>
      <c r="H102" s="129">
        <f t="shared" si="9"/>
        <v>597864</v>
      </c>
      <c r="I102" s="125">
        <v>230717</v>
      </c>
      <c r="J102" s="126"/>
      <c r="K102" s="129">
        <f t="shared" si="10"/>
        <v>586029</v>
      </c>
      <c r="L102" s="125">
        <f t="shared" si="11"/>
        <v>1183893</v>
      </c>
    </row>
    <row r="103" spans="1:12" ht="13.5" customHeight="1" x14ac:dyDescent="0.3">
      <c r="A103" s="130">
        <v>17003</v>
      </c>
      <c r="B103" s="20" t="s">
        <v>296</v>
      </c>
      <c r="C103" s="130" t="s">
        <v>296</v>
      </c>
      <c r="D103" s="127">
        <v>1471072.3902529622</v>
      </c>
      <c r="E103" s="125">
        <v>0</v>
      </c>
      <c r="F103" s="125">
        <v>234712</v>
      </c>
      <c r="G103" s="126">
        <v>0</v>
      </c>
      <c r="H103" s="129">
        <f t="shared" si="9"/>
        <v>500824</v>
      </c>
      <c r="I103" s="125">
        <v>245919</v>
      </c>
      <c r="J103" s="126"/>
      <c r="K103" s="129">
        <f t="shared" si="10"/>
        <v>489617</v>
      </c>
      <c r="L103" s="125">
        <f t="shared" si="11"/>
        <v>990441</v>
      </c>
    </row>
    <row r="104" spans="1:12" ht="13.5" customHeight="1" x14ac:dyDescent="0.3">
      <c r="A104" s="130">
        <v>51003</v>
      </c>
      <c r="B104" s="20" t="s">
        <v>297</v>
      </c>
      <c r="C104" s="130" t="s">
        <v>297</v>
      </c>
      <c r="D104" s="127">
        <v>1617735.9985956945</v>
      </c>
      <c r="E104" s="125">
        <v>0</v>
      </c>
      <c r="F104" s="125">
        <v>157436</v>
      </c>
      <c r="G104" s="126">
        <v>0</v>
      </c>
      <c r="H104" s="129">
        <f t="shared" si="9"/>
        <v>651432</v>
      </c>
      <c r="I104" s="125">
        <v>161315</v>
      </c>
      <c r="J104" s="126"/>
      <c r="K104" s="129">
        <f t="shared" si="10"/>
        <v>647553</v>
      </c>
      <c r="L104" s="125">
        <f t="shared" si="11"/>
        <v>1298985</v>
      </c>
    </row>
    <row r="105" spans="1:12" ht="13.5" customHeight="1" x14ac:dyDescent="0.3">
      <c r="A105" s="130">
        <v>9002</v>
      </c>
      <c r="B105" s="20" t="s">
        <v>298</v>
      </c>
      <c r="C105" s="130" t="s">
        <v>298</v>
      </c>
      <c r="D105" s="127">
        <v>1882020.4011291633</v>
      </c>
      <c r="E105" s="125">
        <v>14369.55799999999</v>
      </c>
      <c r="F105" s="125">
        <v>314228</v>
      </c>
      <c r="G105" s="126">
        <v>0</v>
      </c>
      <c r="H105" s="129">
        <f t="shared" si="9"/>
        <v>619597</v>
      </c>
      <c r="I105" s="125">
        <v>341317</v>
      </c>
      <c r="J105" s="126"/>
      <c r="K105" s="129">
        <f t="shared" si="10"/>
        <v>592508</v>
      </c>
      <c r="L105" s="125">
        <f t="shared" si="11"/>
        <v>1212105</v>
      </c>
    </row>
    <row r="106" spans="1:12" ht="13.5" customHeight="1" x14ac:dyDescent="0.3">
      <c r="A106" s="130">
        <v>56007</v>
      </c>
      <c r="B106" s="20" t="s">
        <v>299</v>
      </c>
      <c r="C106" s="130" t="s">
        <v>299</v>
      </c>
      <c r="D106" s="127">
        <v>1776585.0845392942</v>
      </c>
      <c r="E106" s="125">
        <v>0</v>
      </c>
      <c r="F106" s="125">
        <v>759331</v>
      </c>
      <c r="G106" s="126">
        <v>0</v>
      </c>
      <c r="H106" s="129">
        <f t="shared" si="9"/>
        <v>128962</v>
      </c>
      <c r="I106" s="125">
        <v>784512</v>
      </c>
      <c r="J106" s="126"/>
      <c r="K106" s="129">
        <f t="shared" si="10"/>
        <v>103781</v>
      </c>
      <c r="L106" s="125">
        <f t="shared" si="11"/>
        <v>232743</v>
      </c>
    </row>
    <row r="107" spans="1:12" ht="13.5" customHeight="1" x14ac:dyDescent="0.3">
      <c r="A107" s="130">
        <v>23003</v>
      </c>
      <c r="B107" s="20" t="s">
        <v>300</v>
      </c>
      <c r="C107" s="130" t="s">
        <v>300</v>
      </c>
      <c r="D107" s="127">
        <v>945797.79632184003</v>
      </c>
      <c r="E107" s="125">
        <v>5424.7160000000003</v>
      </c>
      <c r="F107" s="125">
        <v>65447</v>
      </c>
      <c r="G107" s="126">
        <v>0</v>
      </c>
      <c r="H107" s="129">
        <f t="shared" si="9"/>
        <v>404740</v>
      </c>
      <c r="I107" s="125">
        <v>66597</v>
      </c>
      <c r="J107" s="126"/>
      <c r="K107" s="129">
        <f t="shared" si="10"/>
        <v>403590</v>
      </c>
      <c r="L107" s="125">
        <f t="shared" si="11"/>
        <v>808330</v>
      </c>
    </row>
    <row r="108" spans="1:12" ht="13.5" customHeight="1" x14ac:dyDescent="0.3">
      <c r="A108" s="130">
        <v>65001</v>
      </c>
      <c r="B108" s="20" t="s">
        <v>373</v>
      </c>
      <c r="C108" s="130" t="s">
        <v>373</v>
      </c>
      <c r="D108" s="127">
        <v>7461565.7206764659</v>
      </c>
      <c r="E108" s="125">
        <v>81766.88400000002</v>
      </c>
      <c r="F108" s="125">
        <v>50127</v>
      </c>
      <c r="G108" s="126">
        <v>0</v>
      </c>
      <c r="H108" s="129">
        <f t="shared" si="9"/>
        <v>3639772</v>
      </c>
      <c r="I108" s="125">
        <v>66061</v>
      </c>
      <c r="J108" s="126"/>
      <c r="K108" s="129">
        <f t="shared" si="10"/>
        <v>3623838</v>
      </c>
      <c r="L108" s="125">
        <f t="shared" si="11"/>
        <v>7263610</v>
      </c>
    </row>
    <row r="109" spans="1:12" ht="13.5" customHeight="1" x14ac:dyDescent="0.3">
      <c r="A109" s="130">
        <v>39005</v>
      </c>
      <c r="B109" s="20" t="s">
        <v>302</v>
      </c>
      <c r="C109" s="130" t="s">
        <v>302</v>
      </c>
      <c r="D109" s="127">
        <v>1203110.4320858698</v>
      </c>
      <c r="E109" s="125">
        <v>0</v>
      </c>
      <c r="F109" s="125">
        <v>260775</v>
      </c>
      <c r="G109" s="126">
        <v>0</v>
      </c>
      <c r="H109" s="129">
        <f t="shared" si="9"/>
        <v>340780</v>
      </c>
      <c r="I109" s="125">
        <v>275776</v>
      </c>
      <c r="J109" s="126"/>
      <c r="K109" s="129">
        <f t="shared" si="10"/>
        <v>325779</v>
      </c>
      <c r="L109" s="125">
        <f t="shared" si="11"/>
        <v>666559</v>
      </c>
    </row>
    <row r="110" spans="1:12" ht="13.5" customHeight="1" x14ac:dyDescent="0.3">
      <c r="A110" s="130">
        <v>60004</v>
      </c>
      <c r="B110" s="20" t="s">
        <v>303</v>
      </c>
      <c r="C110" s="130" t="s">
        <v>303</v>
      </c>
      <c r="D110" s="127">
        <v>2659100.4040173413</v>
      </c>
      <c r="E110" s="125">
        <v>0</v>
      </c>
      <c r="F110" s="125">
        <v>402346</v>
      </c>
      <c r="G110" s="126">
        <v>0</v>
      </c>
      <c r="H110" s="129">
        <f t="shared" si="9"/>
        <v>927204</v>
      </c>
      <c r="I110" s="125">
        <v>417873</v>
      </c>
      <c r="J110" s="126"/>
      <c r="K110" s="129">
        <f t="shared" si="10"/>
        <v>911677</v>
      </c>
      <c r="L110" s="125">
        <f t="shared" si="11"/>
        <v>1838881</v>
      </c>
    </row>
    <row r="111" spans="1:12" ht="13.5" customHeight="1" x14ac:dyDescent="0.3">
      <c r="A111" s="130">
        <v>33003</v>
      </c>
      <c r="B111" s="20" t="s">
        <v>304</v>
      </c>
      <c r="C111" s="130" t="s">
        <v>304</v>
      </c>
      <c r="D111" s="127">
        <v>3122826.7305186829</v>
      </c>
      <c r="E111" s="125">
        <v>19597.191999999981</v>
      </c>
      <c r="F111" s="125">
        <v>520028</v>
      </c>
      <c r="G111" s="126">
        <v>0</v>
      </c>
      <c r="H111" s="129">
        <f t="shared" si="9"/>
        <v>1031587</v>
      </c>
      <c r="I111" s="125">
        <v>550129</v>
      </c>
      <c r="J111" s="126"/>
      <c r="K111" s="129">
        <f t="shared" si="10"/>
        <v>1001486</v>
      </c>
      <c r="L111" s="125">
        <f t="shared" si="11"/>
        <v>2033073</v>
      </c>
    </row>
    <row r="112" spans="1:12" ht="13.5" customHeight="1" x14ac:dyDescent="0.3">
      <c r="A112" s="130">
        <v>32002</v>
      </c>
      <c r="B112" s="20" t="s">
        <v>305</v>
      </c>
      <c r="C112" s="130" t="s">
        <v>305</v>
      </c>
      <c r="D112" s="127">
        <v>14869265.314263031</v>
      </c>
      <c r="E112" s="125">
        <v>86858.113999999827</v>
      </c>
      <c r="F112" s="125">
        <v>2724087</v>
      </c>
      <c r="G112" s="126">
        <v>0</v>
      </c>
      <c r="H112" s="129">
        <f t="shared" si="9"/>
        <v>4667117</v>
      </c>
      <c r="I112" s="125">
        <v>2808966</v>
      </c>
      <c r="J112" s="126"/>
      <c r="K112" s="129">
        <f t="shared" si="10"/>
        <v>4582238</v>
      </c>
      <c r="L112" s="125">
        <f t="shared" si="11"/>
        <v>9249355</v>
      </c>
    </row>
    <row r="113" spans="1:12" ht="13.5" customHeight="1" x14ac:dyDescent="0.3">
      <c r="A113" s="130">
        <v>1001</v>
      </c>
      <c r="B113" s="20" t="s">
        <v>306</v>
      </c>
      <c r="C113" s="130" t="s">
        <v>306</v>
      </c>
      <c r="D113" s="127">
        <v>2276430.0108586666</v>
      </c>
      <c r="E113" s="125">
        <v>0</v>
      </c>
      <c r="F113" s="125">
        <v>301958</v>
      </c>
      <c r="G113" s="126">
        <v>0</v>
      </c>
      <c r="H113" s="129">
        <f t="shared" si="9"/>
        <v>836257</v>
      </c>
      <c r="I113" s="125">
        <v>323254</v>
      </c>
      <c r="J113" s="126"/>
      <c r="K113" s="129">
        <f t="shared" si="10"/>
        <v>814961</v>
      </c>
      <c r="L113" s="125">
        <f t="shared" si="11"/>
        <v>1651218</v>
      </c>
    </row>
    <row r="114" spans="1:12" ht="13.5" customHeight="1" x14ac:dyDescent="0.3">
      <c r="A114" s="130">
        <v>11005</v>
      </c>
      <c r="B114" s="20" t="s">
        <v>307</v>
      </c>
      <c r="C114" s="130" t="s">
        <v>307</v>
      </c>
      <c r="D114" s="127">
        <v>2974835.807413382</v>
      </c>
      <c r="E114" s="125">
        <v>0</v>
      </c>
      <c r="F114" s="125">
        <v>798158</v>
      </c>
      <c r="G114" s="126">
        <v>0</v>
      </c>
      <c r="H114" s="129">
        <f t="shared" si="9"/>
        <v>689260</v>
      </c>
      <c r="I114" s="125">
        <v>835817</v>
      </c>
      <c r="J114" s="126"/>
      <c r="K114" s="129">
        <f t="shared" si="10"/>
        <v>651601</v>
      </c>
      <c r="L114" s="125">
        <f t="shared" si="11"/>
        <v>1340861</v>
      </c>
    </row>
    <row r="115" spans="1:12" ht="13.5" customHeight="1" x14ac:dyDescent="0.3">
      <c r="A115" s="130">
        <v>51004</v>
      </c>
      <c r="B115" s="20" t="s">
        <v>372</v>
      </c>
      <c r="C115" s="130" t="s">
        <v>372</v>
      </c>
      <c r="D115" s="127">
        <v>76226840.445306182</v>
      </c>
      <c r="E115" s="125">
        <v>0</v>
      </c>
      <c r="F115" s="125">
        <v>17258588</v>
      </c>
      <c r="G115" s="126">
        <v>0</v>
      </c>
      <c r="H115" s="129">
        <f t="shared" si="9"/>
        <v>20854832</v>
      </c>
      <c r="I115" s="125">
        <v>18375957</v>
      </c>
      <c r="J115" s="126"/>
      <c r="K115" s="129">
        <f t="shared" si="10"/>
        <v>19737463</v>
      </c>
      <c r="L115" s="125">
        <f t="shared" si="11"/>
        <v>40592295</v>
      </c>
    </row>
    <row r="116" spans="1:12" ht="13.5" customHeight="1" x14ac:dyDescent="0.3">
      <c r="A116" s="130">
        <v>56004</v>
      </c>
      <c r="B116" s="20" t="s">
        <v>309</v>
      </c>
      <c r="C116" s="130" t="s">
        <v>309</v>
      </c>
      <c r="D116" s="127">
        <v>3309644.9118662062</v>
      </c>
      <c r="E116" s="125">
        <v>35172.940000000017</v>
      </c>
      <c r="F116" s="125">
        <v>703443</v>
      </c>
      <c r="G116" s="126">
        <v>0</v>
      </c>
      <c r="H116" s="129">
        <f t="shared" si="9"/>
        <v>933793</v>
      </c>
      <c r="I116" s="125">
        <v>795239</v>
      </c>
      <c r="J116" s="126"/>
      <c r="K116" s="129">
        <f t="shared" si="10"/>
        <v>841997</v>
      </c>
      <c r="L116" s="125">
        <f t="shared" si="11"/>
        <v>1775790</v>
      </c>
    </row>
    <row r="117" spans="1:12" ht="13.5" customHeight="1" x14ac:dyDescent="0.3">
      <c r="A117" s="130">
        <v>54004</v>
      </c>
      <c r="B117" s="20" t="s">
        <v>310</v>
      </c>
      <c r="C117" s="130" t="s">
        <v>310</v>
      </c>
      <c r="D117" s="127">
        <v>1703805.8257857852</v>
      </c>
      <c r="E117" s="125">
        <v>0</v>
      </c>
      <c r="F117" s="125">
        <v>183172</v>
      </c>
      <c r="G117" s="126">
        <v>0</v>
      </c>
      <c r="H117" s="129">
        <f t="shared" si="9"/>
        <v>668731</v>
      </c>
      <c r="I117" s="125">
        <v>221529</v>
      </c>
      <c r="J117" s="126"/>
      <c r="K117" s="129">
        <f t="shared" si="10"/>
        <v>630374</v>
      </c>
      <c r="L117" s="125">
        <f t="shared" si="11"/>
        <v>1299105</v>
      </c>
    </row>
    <row r="118" spans="1:12" ht="13.5" customHeight="1" x14ac:dyDescent="0.3">
      <c r="A118" s="130">
        <v>39004</v>
      </c>
      <c r="B118" s="20" t="s">
        <v>311</v>
      </c>
      <c r="C118" s="130" t="s">
        <v>311</v>
      </c>
      <c r="D118" s="127">
        <v>1323073.7555163978</v>
      </c>
      <c r="E118" s="125">
        <v>0</v>
      </c>
      <c r="F118" s="125">
        <v>178813</v>
      </c>
      <c r="G118" s="126">
        <v>0</v>
      </c>
      <c r="H118" s="129">
        <f t="shared" si="9"/>
        <v>482724</v>
      </c>
      <c r="I118" s="125">
        <v>188744</v>
      </c>
      <c r="J118" s="126"/>
      <c r="K118" s="129">
        <f t="shared" si="10"/>
        <v>472793</v>
      </c>
      <c r="L118" s="125">
        <f t="shared" si="11"/>
        <v>955517</v>
      </c>
    </row>
    <row r="119" spans="1:12" ht="13.5" customHeight="1" x14ac:dyDescent="0.3">
      <c r="A119" s="130">
        <v>55005</v>
      </c>
      <c r="B119" s="20" t="s">
        <v>312</v>
      </c>
      <c r="C119" s="130" t="s">
        <v>312</v>
      </c>
      <c r="D119" s="127">
        <v>1324812.3544066949</v>
      </c>
      <c r="E119" s="125">
        <v>0</v>
      </c>
      <c r="F119" s="125">
        <v>343142</v>
      </c>
      <c r="G119" s="126">
        <v>0</v>
      </c>
      <c r="H119" s="129">
        <f t="shared" si="9"/>
        <v>319264</v>
      </c>
      <c r="I119" s="125">
        <v>364944</v>
      </c>
      <c r="J119" s="126"/>
      <c r="K119" s="129">
        <f t="shared" si="10"/>
        <v>297462</v>
      </c>
      <c r="L119" s="125">
        <f t="shared" si="11"/>
        <v>616726</v>
      </c>
    </row>
    <row r="120" spans="1:12" ht="13.5" customHeight="1" x14ac:dyDescent="0.3">
      <c r="A120" s="130">
        <v>4003</v>
      </c>
      <c r="B120" s="20" t="s">
        <v>313</v>
      </c>
      <c r="C120" s="130" t="s">
        <v>313</v>
      </c>
      <c r="D120" s="127">
        <v>1706414.3010397241</v>
      </c>
      <c r="E120" s="125">
        <v>16733.439999999988</v>
      </c>
      <c r="F120" s="125">
        <v>365122</v>
      </c>
      <c r="G120" s="126">
        <v>0</v>
      </c>
      <c r="H120" s="129">
        <f t="shared" si="9"/>
        <v>479718</v>
      </c>
      <c r="I120" s="125">
        <v>390083</v>
      </c>
      <c r="J120" s="126"/>
      <c r="K120" s="129">
        <f t="shared" si="10"/>
        <v>454757</v>
      </c>
      <c r="L120" s="125">
        <f t="shared" si="11"/>
        <v>934475</v>
      </c>
    </row>
    <row r="121" spans="1:12" ht="13.5" customHeight="1" x14ac:dyDescent="0.3">
      <c r="A121" s="130">
        <v>62005</v>
      </c>
      <c r="B121" s="20" t="s">
        <v>371</v>
      </c>
      <c r="C121" s="130" t="s">
        <v>371</v>
      </c>
      <c r="D121" s="127">
        <v>1272654.3876977698</v>
      </c>
      <c r="E121" s="125">
        <v>40274.79800000001</v>
      </c>
      <c r="F121" s="125">
        <v>606274</v>
      </c>
      <c r="G121" s="126">
        <v>0</v>
      </c>
      <c r="H121" s="129">
        <f t="shared" si="9"/>
        <v>9916</v>
      </c>
      <c r="I121" s="125">
        <v>640167</v>
      </c>
      <c r="J121" s="126"/>
      <c r="K121" s="129">
        <f t="shared" si="10"/>
        <v>0</v>
      </c>
      <c r="L121" s="125">
        <f t="shared" si="11"/>
        <v>9916</v>
      </c>
    </row>
    <row r="122" spans="1:12" ht="13.5" customHeight="1" x14ac:dyDescent="0.3">
      <c r="A122" s="130">
        <v>49005</v>
      </c>
      <c r="B122" s="20" t="s">
        <v>315</v>
      </c>
      <c r="C122" s="130" t="s">
        <v>315</v>
      </c>
      <c r="D122" s="127">
        <v>136256982.36696079</v>
      </c>
      <c r="E122" s="125">
        <v>1607459.9620000003</v>
      </c>
      <c r="F122" s="125">
        <v>26874084</v>
      </c>
      <c r="G122" s="126">
        <v>0</v>
      </c>
      <c r="H122" s="129">
        <f t="shared" si="9"/>
        <v>40450677</v>
      </c>
      <c r="I122" s="125">
        <v>29436590</v>
      </c>
      <c r="J122" s="126"/>
      <c r="K122" s="129">
        <f t="shared" si="10"/>
        <v>37888171</v>
      </c>
      <c r="L122" s="125">
        <f t="shared" si="11"/>
        <v>78338848</v>
      </c>
    </row>
    <row r="123" spans="1:12" ht="13.5" customHeight="1" x14ac:dyDescent="0.3">
      <c r="A123" s="130">
        <v>5005</v>
      </c>
      <c r="B123" s="20" t="s">
        <v>316</v>
      </c>
      <c r="C123" s="130" t="s">
        <v>316</v>
      </c>
      <c r="D123" s="127">
        <v>3818908.9608896319</v>
      </c>
      <c r="E123" s="125">
        <v>8374.2999999999884</v>
      </c>
      <c r="F123" s="125">
        <v>593230</v>
      </c>
      <c r="G123" s="126">
        <v>0</v>
      </c>
      <c r="H123" s="129">
        <f t="shared" si="9"/>
        <v>1312037</v>
      </c>
      <c r="I123" s="125">
        <v>632761</v>
      </c>
      <c r="J123" s="126"/>
      <c r="K123" s="129">
        <f t="shared" si="10"/>
        <v>1272506</v>
      </c>
      <c r="L123" s="125">
        <f t="shared" si="11"/>
        <v>2584543</v>
      </c>
    </row>
    <row r="124" spans="1:12" ht="13.5" customHeight="1" x14ac:dyDescent="0.3">
      <c r="A124" s="130">
        <v>54002</v>
      </c>
      <c r="B124" s="20" t="s">
        <v>317</v>
      </c>
      <c r="C124" s="130" t="s">
        <v>317</v>
      </c>
      <c r="D124" s="127">
        <v>5015510.0787302274</v>
      </c>
      <c r="E124" s="125">
        <v>113451.49800000014</v>
      </c>
      <c r="F124" s="125">
        <v>795937</v>
      </c>
      <c r="G124" s="126">
        <v>0</v>
      </c>
      <c r="H124" s="129">
        <f t="shared" si="9"/>
        <v>1655092</v>
      </c>
      <c r="I124" s="125">
        <v>890997</v>
      </c>
      <c r="J124" s="126"/>
      <c r="K124" s="129">
        <f t="shared" si="10"/>
        <v>1560032</v>
      </c>
      <c r="L124" s="125">
        <f t="shared" si="11"/>
        <v>3215124</v>
      </c>
    </row>
    <row r="125" spans="1:12" ht="13.5" customHeight="1" x14ac:dyDescent="0.3">
      <c r="A125" s="130">
        <v>15003</v>
      </c>
      <c r="B125" s="20" t="s">
        <v>318</v>
      </c>
      <c r="C125" s="130" t="s">
        <v>318</v>
      </c>
      <c r="D125" s="127">
        <v>1255268.3987947949</v>
      </c>
      <c r="E125" s="125">
        <v>0</v>
      </c>
      <c r="F125" s="125">
        <v>9802</v>
      </c>
      <c r="G125" s="126">
        <v>0</v>
      </c>
      <c r="H125" s="129">
        <f t="shared" si="9"/>
        <v>617832</v>
      </c>
      <c r="I125" s="125">
        <v>11122</v>
      </c>
      <c r="J125" s="126"/>
      <c r="K125" s="129">
        <f t="shared" si="10"/>
        <v>616512</v>
      </c>
      <c r="L125" s="125">
        <f t="shared" si="11"/>
        <v>1234344</v>
      </c>
    </row>
    <row r="126" spans="1:12" ht="13.5" customHeight="1" x14ac:dyDescent="0.3">
      <c r="A126" s="130">
        <v>26005</v>
      </c>
      <c r="B126" s="20" t="s">
        <v>319</v>
      </c>
      <c r="C126" s="130" t="s">
        <v>319</v>
      </c>
      <c r="D126" s="127">
        <v>598078.01826233999</v>
      </c>
      <c r="E126" s="125">
        <v>0</v>
      </c>
      <c r="F126" s="125">
        <v>148087</v>
      </c>
      <c r="G126" s="126">
        <v>0</v>
      </c>
      <c r="H126" s="129">
        <f t="shared" si="9"/>
        <v>150952</v>
      </c>
      <c r="I126" s="125">
        <v>161211</v>
      </c>
      <c r="J126" s="126"/>
      <c r="K126" s="129">
        <f t="shared" si="10"/>
        <v>137828</v>
      </c>
      <c r="L126" s="125">
        <f t="shared" si="11"/>
        <v>288780</v>
      </c>
    </row>
    <row r="127" spans="1:12" ht="13.5" customHeight="1" x14ac:dyDescent="0.3">
      <c r="A127" s="130">
        <v>40002</v>
      </c>
      <c r="B127" s="20" t="s">
        <v>320</v>
      </c>
      <c r="C127" s="130" t="s">
        <v>320</v>
      </c>
      <c r="D127" s="127">
        <v>13312493.429381326</v>
      </c>
      <c r="E127" s="125">
        <v>53049.455999999889</v>
      </c>
      <c r="F127" s="125">
        <v>2966182</v>
      </c>
      <c r="G127" s="126">
        <v>0</v>
      </c>
      <c r="H127" s="129">
        <f t="shared" si="9"/>
        <v>3663540</v>
      </c>
      <c r="I127" s="125">
        <v>3246637</v>
      </c>
      <c r="J127" s="137"/>
      <c r="K127" s="129">
        <f t="shared" si="10"/>
        <v>3383085</v>
      </c>
      <c r="L127" s="125">
        <f t="shared" si="11"/>
        <v>7046625</v>
      </c>
    </row>
    <row r="128" spans="1:12" ht="13.5" customHeight="1" x14ac:dyDescent="0.3">
      <c r="A128" s="130">
        <v>57001</v>
      </c>
      <c r="B128" s="20" t="s">
        <v>321</v>
      </c>
      <c r="C128" s="130" t="s">
        <v>321</v>
      </c>
      <c r="D128" s="127">
        <v>2641720.2612837786</v>
      </c>
      <c r="E128" s="125">
        <v>0</v>
      </c>
      <c r="F128" s="125">
        <v>819687</v>
      </c>
      <c r="G128" s="126">
        <v>0</v>
      </c>
      <c r="H128" s="129">
        <f t="shared" si="9"/>
        <v>501173</v>
      </c>
      <c r="I128" s="125">
        <v>835578</v>
      </c>
      <c r="J128" s="126"/>
      <c r="K128" s="129">
        <f t="shared" si="10"/>
        <v>485282</v>
      </c>
      <c r="L128" s="125">
        <f t="shared" si="11"/>
        <v>986455</v>
      </c>
    </row>
    <row r="129" spans="1:12" ht="13.5" customHeight="1" x14ac:dyDescent="0.3">
      <c r="A129" s="130">
        <v>54006</v>
      </c>
      <c r="B129" s="20" t="s">
        <v>322</v>
      </c>
      <c r="C129" s="130" t="s">
        <v>322</v>
      </c>
      <c r="D129" s="127">
        <v>1102271.6964486148</v>
      </c>
      <c r="E129" s="125">
        <v>5524.0559999999969</v>
      </c>
      <c r="F129" s="125">
        <v>129190</v>
      </c>
      <c r="G129" s="126">
        <v>0</v>
      </c>
      <c r="H129" s="129">
        <f t="shared" si="9"/>
        <v>419184</v>
      </c>
      <c r="I129" s="125">
        <v>138755</v>
      </c>
      <c r="J129" s="126"/>
      <c r="K129" s="129">
        <f t="shared" si="10"/>
        <v>409619</v>
      </c>
      <c r="L129" s="125">
        <f t="shared" si="11"/>
        <v>828803</v>
      </c>
    </row>
    <row r="130" spans="1:12" ht="14.25" customHeight="1" x14ac:dyDescent="0.3">
      <c r="A130" s="130">
        <v>41005</v>
      </c>
      <c r="B130" s="20" t="s">
        <v>323</v>
      </c>
      <c r="C130" s="130" t="s">
        <v>323</v>
      </c>
      <c r="D130" s="127">
        <v>10641616.087732937</v>
      </c>
      <c r="E130" s="125">
        <v>59146.217999999993</v>
      </c>
      <c r="F130" s="125">
        <v>1130923</v>
      </c>
      <c r="G130" s="126">
        <v>0</v>
      </c>
      <c r="H130" s="129">
        <f t="shared" si="9"/>
        <v>4160312</v>
      </c>
      <c r="I130" s="125">
        <v>1257113</v>
      </c>
      <c r="J130" s="126"/>
      <c r="K130" s="129">
        <f t="shared" si="10"/>
        <v>4034122</v>
      </c>
      <c r="L130" s="125">
        <f t="shared" si="11"/>
        <v>8194434</v>
      </c>
    </row>
    <row r="131" spans="1:12" ht="13.5" customHeight="1" x14ac:dyDescent="0.3">
      <c r="A131" s="130">
        <v>20003</v>
      </c>
      <c r="B131" s="20" t="s">
        <v>324</v>
      </c>
      <c r="C131" s="130" t="s">
        <v>324</v>
      </c>
      <c r="D131" s="127">
        <v>2148447.2742350665</v>
      </c>
      <c r="E131" s="125">
        <v>0</v>
      </c>
      <c r="F131" s="125">
        <v>189180</v>
      </c>
      <c r="G131" s="126">
        <v>0</v>
      </c>
      <c r="H131" s="129">
        <f t="shared" si="9"/>
        <v>885044</v>
      </c>
      <c r="I131" s="125">
        <v>196415</v>
      </c>
      <c r="J131" s="126"/>
      <c r="K131" s="129">
        <f t="shared" si="10"/>
        <v>877809</v>
      </c>
      <c r="L131" s="125">
        <f t="shared" si="11"/>
        <v>1762853</v>
      </c>
    </row>
    <row r="132" spans="1:12" ht="13.5" customHeight="1" x14ac:dyDescent="0.3">
      <c r="A132" s="130">
        <v>66001</v>
      </c>
      <c r="B132" s="20" t="s">
        <v>325</v>
      </c>
      <c r="C132" s="130" t="s">
        <v>325</v>
      </c>
      <c r="D132" s="127">
        <v>11744749.762223408</v>
      </c>
      <c r="E132" s="125">
        <v>0</v>
      </c>
      <c r="F132" s="125">
        <v>189929</v>
      </c>
      <c r="G132" s="126">
        <v>0</v>
      </c>
      <c r="H132" s="129">
        <f t="shared" si="9"/>
        <v>5682446</v>
      </c>
      <c r="I132" s="125">
        <v>189892</v>
      </c>
      <c r="J132" s="126"/>
      <c r="K132" s="129">
        <f t="shared" si="10"/>
        <v>5682483</v>
      </c>
      <c r="L132" s="125">
        <f t="shared" si="11"/>
        <v>11364929</v>
      </c>
    </row>
    <row r="133" spans="1:12" ht="13.5" customHeight="1" x14ac:dyDescent="0.3">
      <c r="A133" s="130">
        <v>33005</v>
      </c>
      <c r="B133" s="20" t="s">
        <v>326</v>
      </c>
      <c r="C133" s="130" t="s">
        <v>326</v>
      </c>
      <c r="D133" s="127">
        <v>921457.41185767506</v>
      </c>
      <c r="E133" s="125">
        <v>113267.85799999999</v>
      </c>
      <c r="F133" s="125">
        <v>351919</v>
      </c>
      <c r="G133" s="126">
        <v>0</v>
      </c>
      <c r="H133" s="129">
        <f t="shared" ref="H133:H153" si="12">IF(((0.5*D133)-(0.5*E133)-(0.5*G133)-F133)&lt;0,0,ROUND((0.5*D133)-(0.5*E133)-(0.5*G133)-F133,0))</f>
        <v>52176</v>
      </c>
      <c r="I133" s="125">
        <v>370817</v>
      </c>
      <c r="J133" s="126"/>
      <c r="K133" s="129">
        <f t="shared" ref="K133:K153" si="13">IF(((0.5*D133)-(0.5*E133)-(0.5*G133)-I133-J133)&lt;0,0,ROUND((0.5*D133)-(0.5*E133)-(0.5*G133)-I133-J133,0))</f>
        <v>33278</v>
      </c>
      <c r="L133" s="125">
        <f t="shared" ref="L133:L153" si="14">H133+K133</f>
        <v>85454</v>
      </c>
    </row>
    <row r="134" spans="1:12" ht="13.5" customHeight="1" x14ac:dyDescent="0.3">
      <c r="A134" s="130">
        <v>49006</v>
      </c>
      <c r="B134" s="20" t="s">
        <v>327</v>
      </c>
      <c r="C134" s="130" t="s">
        <v>327</v>
      </c>
      <c r="D134" s="127">
        <v>5417474.1421670103</v>
      </c>
      <c r="E134" s="125">
        <v>0</v>
      </c>
      <c r="F134" s="125">
        <v>944722</v>
      </c>
      <c r="G134" s="126">
        <v>0</v>
      </c>
      <c r="H134" s="129">
        <f t="shared" si="12"/>
        <v>1764015</v>
      </c>
      <c r="I134" s="125">
        <v>1068106</v>
      </c>
      <c r="J134" s="126"/>
      <c r="K134" s="129">
        <f t="shared" si="13"/>
        <v>1640631</v>
      </c>
      <c r="L134" s="125">
        <f t="shared" si="14"/>
        <v>3404646</v>
      </c>
    </row>
    <row r="135" spans="1:12" ht="13.5" customHeight="1" x14ac:dyDescent="0.3">
      <c r="A135" s="130">
        <v>13001</v>
      </c>
      <c r="B135" s="20" t="s">
        <v>328</v>
      </c>
      <c r="C135" s="130" t="s">
        <v>328</v>
      </c>
      <c r="D135" s="127">
        <v>7021213.3937419131</v>
      </c>
      <c r="E135" s="125">
        <v>22323.389999999956</v>
      </c>
      <c r="F135" s="125">
        <v>1375491</v>
      </c>
      <c r="G135" s="126">
        <v>0</v>
      </c>
      <c r="H135" s="129">
        <f t="shared" si="12"/>
        <v>2123954</v>
      </c>
      <c r="I135" s="125">
        <v>1432944</v>
      </c>
      <c r="J135" s="126"/>
      <c r="K135" s="129">
        <f t="shared" si="13"/>
        <v>2066501</v>
      </c>
      <c r="L135" s="125">
        <f t="shared" si="14"/>
        <v>4190455</v>
      </c>
    </row>
    <row r="136" spans="1:12" ht="13.5" customHeight="1" x14ac:dyDescent="0.3">
      <c r="A136" s="130">
        <v>60006</v>
      </c>
      <c r="B136" s="20" t="s">
        <v>370</v>
      </c>
      <c r="C136" s="130" t="s">
        <v>370</v>
      </c>
      <c r="D136" s="127">
        <v>2219352.3520590309</v>
      </c>
      <c r="E136" s="125">
        <v>0</v>
      </c>
      <c r="F136" s="125">
        <v>461652</v>
      </c>
      <c r="G136" s="126">
        <v>0</v>
      </c>
      <c r="H136" s="129">
        <f t="shared" si="12"/>
        <v>648024</v>
      </c>
      <c r="I136" s="125">
        <v>487765</v>
      </c>
      <c r="J136" s="126"/>
      <c r="K136" s="129">
        <f t="shared" si="13"/>
        <v>621911</v>
      </c>
      <c r="L136" s="125">
        <f t="shared" si="14"/>
        <v>1269935</v>
      </c>
    </row>
    <row r="137" spans="1:12" ht="13.5" customHeight="1" x14ac:dyDescent="0.3">
      <c r="A137" s="130">
        <v>11004</v>
      </c>
      <c r="B137" s="20" t="s">
        <v>369</v>
      </c>
      <c r="C137" s="130" t="s">
        <v>369</v>
      </c>
      <c r="D137" s="127">
        <v>4669181.1797829662</v>
      </c>
      <c r="E137" s="125">
        <v>45053.895999999979</v>
      </c>
      <c r="F137" s="125">
        <v>427332</v>
      </c>
      <c r="G137" s="126">
        <v>0</v>
      </c>
      <c r="H137" s="129">
        <f t="shared" si="12"/>
        <v>1884732</v>
      </c>
      <c r="I137" s="125">
        <v>438486</v>
      </c>
      <c r="J137" s="126"/>
      <c r="K137" s="129">
        <f t="shared" si="13"/>
        <v>1873578</v>
      </c>
      <c r="L137" s="125">
        <f t="shared" si="14"/>
        <v>3758310</v>
      </c>
    </row>
    <row r="138" spans="1:12" ht="13.5" customHeight="1" x14ac:dyDescent="0.3">
      <c r="A138" s="130">
        <v>51005</v>
      </c>
      <c r="B138" s="20" t="s">
        <v>331</v>
      </c>
      <c r="C138" s="130" t="s">
        <v>331</v>
      </c>
      <c r="D138" s="127">
        <v>1804563.683621774</v>
      </c>
      <c r="E138" s="125">
        <v>0</v>
      </c>
      <c r="F138" s="125">
        <v>361995</v>
      </c>
      <c r="G138" s="126">
        <v>0</v>
      </c>
      <c r="H138" s="129">
        <f t="shared" si="12"/>
        <v>540287</v>
      </c>
      <c r="I138" s="125">
        <v>371386</v>
      </c>
      <c r="J138" s="126"/>
      <c r="K138" s="129">
        <f t="shared" si="13"/>
        <v>530896</v>
      </c>
      <c r="L138" s="125">
        <f t="shared" si="14"/>
        <v>1071183</v>
      </c>
    </row>
    <row r="139" spans="1:12" ht="13.5" customHeight="1" x14ac:dyDescent="0.3">
      <c r="A139" s="130">
        <v>6005</v>
      </c>
      <c r="B139" s="20" t="s">
        <v>332</v>
      </c>
      <c r="C139" s="130" t="s">
        <v>332</v>
      </c>
      <c r="D139" s="127">
        <v>2018808.1617396004</v>
      </c>
      <c r="E139" s="125">
        <v>12055.915999999983</v>
      </c>
      <c r="F139" s="125">
        <v>301643</v>
      </c>
      <c r="G139" s="126">
        <v>0</v>
      </c>
      <c r="H139" s="129">
        <f t="shared" si="12"/>
        <v>701733</v>
      </c>
      <c r="I139" s="125">
        <v>279166</v>
      </c>
      <c r="J139" s="126"/>
      <c r="K139" s="129">
        <f t="shared" si="13"/>
        <v>724210</v>
      </c>
      <c r="L139" s="125">
        <f t="shared" si="14"/>
        <v>1425943</v>
      </c>
    </row>
    <row r="140" spans="1:12" ht="13.5" customHeight="1" x14ac:dyDescent="0.3">
      <c r="A140" s="130">
        <v>14004</v>
      </c>
      <c r="B140" s="20" t="s">
        <v>333</v>
      </c>
      <c r="C140" s="130" t="s">
        <v>333</v>
      </c>
      <c r="D140" s="127">
        <v>21879752.409122508</v>
      </c>
      <c r="E140" s="125">
        <v>102720.9659999999</v>
      </c>
      <c r="F140" s="125">
        <v>4471450</v>
      </c>
      <c r="G140" s="126">
        <v>0</v>
      </c>
      <c r="H140" s="129">
        <f t="shared" si="12"/>
        <v>6417066</v>
      </c>
      <c r="I140" s="125">
        <v>4602775</v>
      </c>
      <c r="J140" s="126"/>
      <c r="K140" s="129">
        <f t="shared" si="13"/>
        <v>6285741</v>
      </c>
      <c r="L140" s="125">
        <f t="shared" si="14"/>
        <v>12702807</v>
      </c>
    </row>
    <row r="141" spans="1:12" ht="13.5" customHeight="1" x14ac:dyDescent="0.3">
      <c r="A141" s="130">
        <v>18003</v>
      </c>
      <c r="B141" s="20" t="s">
        <v>334</v>
      </c>
      <c r="C141" s="130" t="s">
        <v>334</v>
      </c>
      <c r="D141" s="127">
        <v>1182247.2454023</v>
      </c>
      <c r="E141" s="125">
        <v>7113.0219999999972</v>
      </c>
      <c r="F141" s="125">
        <v>261995</v>
      </c>
      <c r="G141" s="126">
        <v>0</v>
      </c>
      <c r="H141" s="129">
        <f t="shared" si="12"/>
        <v>325572</v>
      </c>
      <c r="I141" s="125">
        <v>277656</v>
      </c>
      <c r="J141" s="126"/>
      <c r="K141" s="129">
        <f t="shared" si="13"/>
        <v>309911</v>
      </c>
      <c r="L141" s="125">
        <f t="shared" si="14"/>
        <v>635483</v>
      </c>
    </row>
    <row r="142" spans="1:12" ht="13.5" customHeight="1" x14ac:dyDescent="0.3">
      <c r="A142" s="130">
        <v>14005</v>
      </c>
      <c r="B142" s="20" t="s">
        <v>335</v>
      </c>
      <c r="C142" s="130" t="s">
        <v>335</v>
      </c>
      <c r="D142" s="127">
        <v>1599298.3064265691</v>
      </c>
      <c r="E142" s="125">
        <v>0</v>
      </c>
      <c r="F142" s="125">
        <v>224208</v>
      </c>
      <c r="G142" s="126">
        <v>0</v>
      </c>
      <c r="H142" s="129">
        <f t="shared" si="12"/>
        <v>575441</v>
      </c>
      <c r="I142" s="125">
        <v>235839</v>
      </c>
      <c r="J142" s="126"/>
      <c r="K142" s="129">
        <f t="shared" si="13"/>
        <v>563810</v>
      </c>
      <c r="L142" s="125">
        <f t="shared" si="14"/>
        <v>1139251</v>
      </c>
    </row>
    <row r="143" spans="1:12" ht="13.5" customHeight="1" x14ac:dyDescent="0.3">
      <c r="A143" s="130">
        <v>18005</v>
      </c>
      <c r="B143" s="20" t="s">
        <v>336</v>
      </c>
      <c r="C143" s="130" t="s">
        <v>336</v>
      </c>
      <c r="D143" s="127">
        <v>3108349.818286777</v>
      </c>
      <c r="E143" s="125">
        <v>61651.811999999976</v>
      </c>
      <c r="F143" s="125">
        <v>971711</v>
      </c>
      <c r="G143" s="126">
        <v>0</v>
      </c>
      <c r="H143" s="129">
        <f t="shared" si="12"/>
        <v>551638</v>
      </c>
      <c r="I143" s="125">
        <v>1026274</v>
      </c>
      <c r="J143" s="126"/>
      <c r="K143" s="129">
        <f t="shared" si="13"/>
        <v>497075</v>
      </c>
      <c r="L143" s="125">
        <f t="shared" si="14"/>
        <v>1048713</v>
      </c>
    </row>
    <row r="144" spans="1:12" ht="13.5" customHeight="1" x14ac:dyDescent="0.3">
      <c r="A144" s="130">
        <v>36002</v>
      </c>
      <c r="B144" s="20" t="s">
        <v>337</v>
      </c>
      <c r="C144" s="130" t="s">
        <v>337</v>
      </c>
      <c r="D144" s="127">
        <v>2062898.7914714962</v>
      </c>
      <c r="E144" s="125">
        <v>49825.445999999938</v>
      </c>
      <c r="F144" s="125">
        <v>589528</v>
      </c>
      <c r="G144" s="126">
        <v>0</v>
      </c>
      <c r="H144" s="129">
        <f t="shared" si="12"/>
        <v>417009</v>
      </c>
      <c r="I144" s="125">
        <v>586216</v>
      </c>
      <c r="J144" s="126"/>
      <c r="K144" s="129">
        <f t="shared" si="13"/>
        <v>420321</v>
      </c>
      <c r="L144" s="125">
        <f t="shared" si="14"/>
        <v>837330</v>
      </c>
    </row>
    <row r="145" spans="1:12" ht="13.5" customHeight="1" x14ac:dyDescent="0.3">
      <c r="A145" s="130">
        <v>49007</v>
      </c>
      <c r="B145" s="20" t="s">
        <v>338</v>
      </c>
      <c r="C145" s="130" t="s">
        <v>338</v>
      </c>
      <c r="D145" s="127">
        <v>7855685.2259202227</v>
      </c>
      <c r="E145" s="125">
        <v>0</v>
      </c>
      <c r="F145" s="125">
        <v>1079628</v>
      </c>
      <c r="G145" s="126">
        <v>0</v>
      </c>
      <c r="H145" s="129">
        <f t="shared" si="12"/>
        <v>2848215</v>
      </c>
      <c r="I145" s="125">
        <v>1204735</v>
      </c>
      <c r="J145" s="126"/>
      <c r="K145" s="129">
        <f t="shared" si="13"/>
        <v>2723108</v>
      </c>
      <c r="L145" s="125">
        <f t="shared" si="14"/>
        <v>5571323</v>
      </c>
    </row>
    <row r="146" spans="1:12" ht="13.5" customHeight="1" x14ac:dyDescent="0.3">
      <c r="A146" s="136">
        <v>1003</v>
      </c>
      <c r="B146" s="20" t="s">
        <v>339</v>
      </c>
      <c r="C146" s="136" t="s">
        <v>339</v>
      </c>
      <c r="D146" s="135">
        <v>948177.3305454544</v>
      </c>
      <c r="E146" s="132">
        <v>218171.43999999997</v>
      </c>
      <c r="F146" s="132">
        <v>213528</v>
      </c>
      <c r="G146" s="134">
        <v>0</v>
      </c>
      <c r="H146" s="133">
        <f t="shared" si="12"/>
        <v>151475</v>
      </c>
      <c r="I146" s="132">
        <v>223007</v>
      </c>
      <c r="J146" s="134"/>
      <c r="K146" s="133">
        <f t="shared" si="13"/>
        <v>141996</v>
      </c>
      <c r="L146" s="132">
        <f t="shared" si="14"/>
        <v>293471</v>
      </c>
    </row>
    <row r="147" spans="1:12" ht="13.5" customHeight="1" x14ac:dyDescent="0.3">
      <c r="A147" s="130">
        <v>47001</v>
      </c>
      <c r="B147" s="20" t="s">
        <v>340</v>
      </c>
      <c r="C147" s="130" t="s">
        <v>340</v>
      </c>
      <c r="D147" s="127">
        <v>2529987.6125477087</v>
      </c>
      <c r="E147" s="125">
        <v>0</v>
      </c>
      <c r="F147" s="125">
        <v>138891</v>
      </c>
      <c r="G147" s="126">
        <v>0</v>
      </c>
      <c r="H147" s="129">
        <f t="shared" si="12"/>
        <v>1126103</v>
      </c>
      <c r="I147" s="125">
        <v>145627</v>
      </c>
      <c r="J147" s="126"/>
      <c r="K147" s="129">
        <f t="shared" si="13"/>
        <v>1119367</v>
      </c>
      <c r="L147" s="125">
        <f t="shared" si="14"/>
        <v>2245470</v>
      </c>
    </row>
    <row r="148" spans="1:12" ht="13.5" customHeight="1" x14ac:dyDescent="0.3">
      <c r="A148" s="130">
        <v>12003</v>
      </c>
      <c r="B148" s="20" t="s">
        <v>341</v>
      </c>
      <c r="C148" s="130" t="s">
        <v>341</v>
      </c>
      <c r="D148" s="127">
        <v>1734170.6820869183</v>
      </c>
      <c r="E148" s="125">
        <v>0</v>
      </c>
      <c r="F148" s="125">
        <v>398478</v>
      </c>
      <c r="G148" s="126">
        <v>0</v>
      </c>
      <c r="H148" s="129">
        <f t="shared" si="12"/>
        <v>468607</v>
      </c>
      <c r="I148" s="125">
        <v>416565</v>
      </c>
      <c r="J148" s="126"/>
      <c r="K148" s="129">
        <f t="shared" si="13"/>
        <v>450520</v>
      </c>
      <c r="L148" s="125">
        <f t="shared" si="14"/>
        <v>919127</v>
      </c>
    </row>
    <row r="149" spans="1:12" ht="13.5" customHeight="1" x14ac:dyDescent="0.3">
      <c r="A149" s="130">
        <v>54007</v>
      </c>
      <c r="B149" s="20" t="s">
        <v>342</v>
      </c>
      <c r="C149" s="130" t="s">
        <v>342</v>
      </c>
      <c r="D149" s="127">
        <v>1528852.9490034455</v>
      </c>
      <c r="E149" s="125">
        <v>7829.5139999999956</v>
      </c>
      <c r="F149" s="125">
        <v>214597</v>
      </c>
      <c r="G149" s="126">
        <v>0</v>
      </c>
      <c r="H149" s="129">
        <f t="shared" si="12"/>
        <v>545915</v>
      </c>
      <c r="I149" s="125">
        <v>249173</v>
      </c>
      <c r="J149" s="126"/>
      <c r="K149" s="129">
        <f t="shared" si="13"/>
        <v>511339</v>
      </c>
      <c r="L149" s="125">
        <f t="shared" si="14"/>
        <v>1057254</v>
      </c>
    </row>
    <row r="150" spans="1:12" ht="13.5" customHeight="1" x14ac:dyDescent="0.3">
      <c r="A150" s="130">
        <v>59002</v>
      </c>
      <c r="B150" s="20" t="s">
        <v>343</v>
      </c>
      <c r="C150" s="130" t="s">
        <v>343</v>
      </c>
      <c r="D150" s="127">
        <v>3951487.5578681584</v>
      </c>
      <c r="E150" s="125">
        <v>0</v>
      </c>
      <c r="F150" s="125">
        <v>823703</v>
      </c>
      <c r="G150" s="126">
        <v>0</v>
      </c>
      <c r="H150" s="129">
        <f t="shared" si="12"/>
        <v>1152041</v>
      </c>
      <c r="I150" s="125">
        <v>833231</v>
      </c>
      <c r="J150" s="126"/>
      <c r="K150" s="129">
        <f t="shared" si="13"/>
        <v>1142513</v>
      </c>
      <c r="L150" s="125">
        <f t="shared" si="14"/>
        <v>2294554</v>
      </c>
    </row>
    <row r="151" spans="1:12" ht="13.5" customHeight="1" x14ac:dyDescent="0.3">
      <c r="A151" s="131">
        <v>2006</v>
      </c>
      <c r="B151" s="20" t="s">
        <v>344</v>
      </c>
      <c r="C151" s="130" t="s">
        <v>344</v>
      </c>
      <c r="D151" s="127">
        <v>2209793.0454457114</v>
      </c>
      <c r="E151" s="125">
        <v>6062.127999999997</v>
      </c>
      <c r="F151" s="125">
        <v>482924</v>
      </c>
      <c r="G151" s="126">
        <v>0</v>
      </c>
      <c r="H151" s="129">
        <f t="shared" si="12"/>
        <v>618941</v>
      </c>
      <c r="I151" s="125">
        <v>514170</v>
      </c>
      <c r="J151" s="126"/>
      <c r="K151" s="129">
        <f t="shared" si="13"/>
        <v>587695</v>
      </c>
      <c r="L151" s="125">
        <f t="shared" si="14"/>
        <v>1206636</v>
      </c>
    </row>
    <row r="152" spans="1:12" ht="13.5" customHeight="1" x14ac:dyDescent="0.3">
      <c r="A152" s="130">
        <v>55004</v>
      </c>
      <c r="B152" s="20" t="s">
        <v>345</v>
      </c>
      <c r="C152" s="130" t="s">
        <v>345</v>
      </c>
      <c r="D152" s="127">
        <v>1676144.3670538033</v>
      </c>
      <c r="E152" s="125">
        <v>0</v>
      </c>
      <c r="F152" s="125">
        <v>227650</v>
      </c>
      <c r="G152" s="126">
        <v>0</v>
      </c>
      <c r="H152" s="129">
        <f t="shared" si="12"/>
        <v>610422</v>
      </c>
      <c r="I152" s="125">
        <v>237156</v>
      </c>
      <c r="J152" s="126"/>
      <c r="K152" s="129">
        <f t="shared" si="13"/>
        <v>600916</v>
      </c>
      <c r="L152" s="125">
        <f t="shared" si="14"/>
        <v>1211338</v>
      </c>
    </row>
    <row r="153" spans="1:12" ht="13.5" customHeight="1" x14ac:dyDescent="0.3">
      <c r="A153" s="130">
        <v>63003</v>
      </c>
      <c r="B153" s="20" t="s">
        <v>346</v>
      </c>
      <c r="C153" s="130" t="s">
        <v>346</v>
      </c>
      <c r="D153" s="127">
        <v>15498232.136681095</v>
      </c>
      <c r="E153" s="125">
        <v>181761.47999999998</v>
      </c>
      <c r="F153" s="125">
        <v>3021079</v>
      </c>
      <c r="G153" s="126">
        <v>0</v>
      </c>
      <c r="H153" s="129">
        <f t="shared" si="12"/>
        <v>4637156</v>
      </c>
      <c r="I153" s="125">
        <v>3169186</v>
      </c>
      <c r="J153" s="126"/>
      <c r="K153" s="129">
        <f t="shared" si="13"/>
        <v>4489049</v>
      </c>
      <c r="L153" s="125">
        <f t="shared" si="14"/>
        <v>9126205</v>
      </c>
    </row>
    <row r="154" spans="1:12" ht="15" thickBot="1" x14ac:dyDescent="0.3">
      <c r="A154" s="128"/>
      <c r="B154" s="128"/>
      <c r="C154" s="128"/>
      <c r="D154" s="127">
        <f t="shared" ref="D154:L154" si="15">SUM(D5:D153)</f>
        <v>785415265.57098699</v>
      </c>
      <c r="E154" s="125">
        <f t="shared" si="15"/>
        <v>4593200.3464000002</v>
      </c>
      <c r="F154" s="125">
        <f t="shared" si="15"/>
        <v>156232100</v>
      </c>
      <c r="G154" s="126">
        <f t="shared" si="15"/>
        <v>1851742</v>
      </c>
      <c r="H154" s="125">
        <f t="shared" si="15"/>
        <v>235279195</v>
      </c>
      <c r="I154" s="125">
        <f t="shared" si="15"/>
        <v>166899116</v>
      </c>
      <c r="J154" s="126">
        <f t="shared" si="15"/>
        <v>0</v>
      </c>
      <c r="K154" s="125">
        <f t="shared" si="15"/>
        <v>224898495</v>
      </c>
      <c r="L154" s="125">
        <f t="shared" si="15"/>
        <v>460177690</v>
      </c>
    </row>
    <row r="155" spans="1:12" s="120" customFormat="1" ht="15" thickBot="1" x14ac:dyDescent="0.3">
      <c r="A155" s="124" t="s">
        <v>187</v>
      </c>
      <c r="B155" s="211"/>
      <c r="C155" s="123" t="s">
        <v>368</v>
      </c>
      <c r="D155" s="121">
        <v>350502</v>
      </c>
      <c r="E155" s="121"/>
      <c r="F155" s="121"/>
      <c r="G155" s="122"/>
      <c r="H155" s="121">
        <f>IF((0.5*D155)-(E155*0.5)-F155+G155&lt;0,0,ROUND((0.5*D155)-(E155*0.5)-F155+G155,0))</f>
        <v>175251</v>
      </c>
      <c r="I155" s="121"/>
      <c r="J155" s="121"/>
      <c r="K155" s="121">
        <f>IF((0.5*D155)-(0.5*E155)-I155+J155&lt;0,0,ROUND((0.5*D155)-(0.5*E155)-I155+J155,0))</f>
        <v>175251</v>
      </c>
      <c r="L155" s="121">
        <f>H155+K155</f>
        <v>350502</v>
      </c>
    </row>
    <row r="156" spans="1:12" s="89" customFormat="1" x14ac:dyDescent="0.25">
      <c r="A156" s="119"/>
      <c r="B156" s="119"/>
      <c r="C156" s="119"/>
      <c r="D156" s="118"/>
      <c r="E156" s="118"/>
      <c r="F156" s="118"/>
      <c r="G156" s="118"/>
      <c r="H156" s="118"/>
    </row>
    <row r="157" spans="1:12" ht="13.5" customHeight="1" x14ac:dyDescent="0.25">
      <c r="G157" s="85"/>
      <c r="H157" s="85"/>
      <c r="K157" s="83" t="s">
        <v>366</v>
      </c>
      <c r="L157" s="85">
        <f>L154+L155</f>
        <v>460528192</v>
      </c>
    </row>
    <row r="159" spans="1:12" x14ac:dyDescent="0.25">
      <c r="F159" s="85" t="s">
        <v>187</v>
      </c>
    </row>
    <row r="160" spans="1:12" x14ac:dyDescent="0.25">
      <c r="F160" s="85" t="s">
        <v>187</v>
      </c>
    </row>
  </sheetData>
  <pageMargins left="0.25" right="0.25" top="0.42" bottom="0.43" header="0.17" footer="0.16"/>
  <pageSetup scale="84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
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C011-E203-4560-B5F2-F0814E373FAD}">
  <sheetPr codeName="Sheet8">
    <pageSetUpPr fitToPage="1"/>
  </sheetPr>
  <dimension ref="A1:O157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D13" sqref="D13"/>
    </sheetView>
  </sheetViews>
  <sheetFormatPr defaultColWidth="9.140625" defaultRowHeight="15.75" x14ac:dyDescent="0.35"/>
  <cols>
    <col min="1" max="1" width="6.7109375" style="152" customWidth="1"/>
    <col min="2" max="2" width="20.7109375" style="152" bestFit="1" customWidth="1"/>
    <col min="3" max="3" width="9.7109375" style="148" bestFit="1" customWidth="1"/>
    <col min="4" max="4" width="15.7109375" style="151" bestFit="1" customWidth="1"/>
    <col min="5" max="8" width="9.85546875" style="148" customWidth="1"/>
    <col min="9" max="9" width="11.7109375" style="149" bestFit="1" customWidth="1"/>
    <col min="10" max="11" width="11.7109375" style="148" customWidth="1"/>
    <col min="12" max="12" width="14.7109375" style="150" customWidth="1"/>
    <col min="13" max="13" width="11.7109375" style="148" customWidth="1"/>
    <col min="14" max="14" width="11.7109375" style="149" customWidth="1"/>
    <col min="15" max="15" width="14" style="149" customWidth="1"/>
    <col min="16" max="16384" width="9.140625" style="148"/>
  </cols>
  <sheetData>
    <row r="1" spans="1:15" s="182" customFormat="1" x14ac:dyDescent="0.35">
      <c r="A1" s="526" t="s">
        <v>414</v>
      </c>
      <c r="B1" s="526"/>
      <c r="D1" s="187" t="s">
        <v>412</v>
      </c>
      <c r="E1" s="186" t="s">
        <v>411</v>
      </c>
      <c r="F1" s="182" t="s">
        <v>410</v>
      </c>
      <c r="G1" s="182" t="s">
        <v>409</v>
      </c>
      <c r="H1" s="182" t="s">
        <v>408</v>
      </c>
      <c r="I1" s="185">
        <v>48645.5</v>
      </c>
      <c r="J1" s="182" t="s">
        <v>407</v>
      </c>
      <c r="K1" s="182" t="s">
        <v>406</v>
      </c>
      <c r="L1" s="184" t="s">
        <v>187</v>
      </c>
      <c r="M1" s="182" t="s">
        <v>404</v>
      </c>
      <c r="N1" s="183" t="s">
        <v>403</v>
      </c>
      <c r="O1" s="183"/>
    </row>
    <row r="2" spans="1:15" s="176" customFormat="1" ht="47.25" x14ac:dyDescent="0.35">
      <c r="A2" s="181" t="s">
        <v>387</v>
      </c>
      <c r="B2" s="179" t="s">
        <v>402</v>
      </c>
      <c r="C2" s="179" t="s">
        <v>427</v>
      </c>
      <c r="D2" s="179" t="s">
        <v>426</v>
      </c>
      <c r="E2" s="180" t="s">
        <v>399</v>
      </c>
      <c r="F2" s="180" t="s">
        <v>398</v>
      </c>
      <c r="G2" s="179" t="s">
        <v>397</v>
      </c>
      <c r="H2" s="179" t="s">
        <v>396</v>
      </c>
      <c r="I2" s="178" t="s">
        <v>395</v>
      </c>
      <c r="J2" s="179" t="s">
        <v>394</v>
      </c>
      <c r="K2" s="179" t="s">
        <v>393</v>
      </c>
      <c r="L2" s="179" t="s">
        <v>425</v>
      </c>
      <c r="M2" s="179" t="s">
        <v>424</v>
      </c>
      <c r="N2" s="178" t="s">
        <v>390</v>
      </c>
      <c r="O2" s="177" t="s">
        <v>423</v>
      </c>
    </row>
    <row r="3" spans="1:15" x14ac:dyDescent="0.35">
      <c r="A3" s="170">
        <v>6001</v>
      </c>
      <c r="B3" s="170" t="s">
        <v>198</v>
      </c>
      <c r="C3" s="167">
        <v>4519.12</v>
      </c>
      <c r="D3" s="169">
        <v>31.25</v>
      </c>
      <c r="E3" s="166">
        <f t="shared" ref="E3:E34" si="0">IF(C3&lt;200,12,IF(C3&gt;600,15,(C3*0.0075)+10.5))</f>
        <v>15</v>
      </c>
      <c r="F3" s="166">
        <f t="shared" ref="F3:F34" si="1">C3/E3</f>
        <v>301.27466666666663</v>
      </c>
      <c r="G3" s="166">
        <f t="shared" ref="G3:G34" si="2">D3/E3</f>
        <v>2.0833333333333335</v>
      </c>
      <c r="H3" s="166">
        <f t="shared" ref="H3:H34" si="3">F3+G3</f>
        <v>303.35799999999995</v>
      </c>
      <c r="I3" s="164">
        <f t="shared" ref="I3:I34" si="4">$I$1*1.29</f>
        <v>62752.695</v>
      </c>
      <c r="J3" s="164">
        <f t="shared" ref="J3:J34" si="5">H3*I3</f>
        <v>19036532.049809996</v>
      </c>
      <c r="K3" s="164">
        <f t="shared" ref="K3:K34" si="6">J3*0.3104</f>
        <v>5908939.5482610231</v>
      </c>
      <c r="L3" s="164">
        <v>7061</v>
      </c>
      <c r="M3" s="164">
        <f t="shared" ref="M3:M34" si="7">J3+K3+L3</f>
        <v>24952532.59807102</v>
      </c>
      <c r="N3" s="149">
        <v>0</v>
      </c>
      <c r="O3" s="149">
        <f t="shared" ref="O3:O34" si="8">IF(N3&gt;0,N3,M3)</f>
        <v>24952532.59807102</v>
      </c>
    </row>
    <row r="4" spans="1:15" ht="13.5" customHeight="1" x14ac:dyDescent="0.35">
      <c r="A4" s="170">
        <v>58003</v>
      </c>
      <c r="B4" s="170" t="s">
        <v>199</v>
      </c>
      <c r="C4" s="167">
        <v>251.13</v>
      </c>
      <c r="D4" s="175">
        <v>1.25</v>
      </c>
      <c r="E4" s="174">
        <f t="shared" si="0"/>
        <v>12.383475000000001</v>
      </c>
      <c r="F4" s="174">
        <f t="shared" si="1"/>
        <v>20.279444986160993</v>
      </c>
      <c r="G4" s="174">
        <f t="shared" si="2"/>
        <v>0.10094097173854673</v>
      </c>
      <c r="H4" s="174">
        <f t="shared" si="3"/>
        <v>20.380385957899538</v>
      </c>
      <c r="I4" s="173">
        <f t="shared" si="4"/>
        <v>62752.695</v>
      </c>
      <c r="J4" s="173">
        <f t="shared" si="5"/>
        <v>1278924.1439983526</v>
      </c>
      <c r="K4" s="173">
        <f t="shared" si="6"/>
        <v>396978.05429708865</v>
      </c>
      <c r="L4" s="173">
        <v>0</v>
      </c>
      <c r="M4" s="172">
        <f t="shared" si="7"/>
        <v>1675902.1982954412</v>
      </c>
      <c r="N4" s="149">
        <v>0</v>
      </c>
      <c r="O4" s="149">
        <f t="shared" si="8"/>
        <v>1675902.1982954412</v>
      </c>
    </row>
    <row r="5" spans="1:15" ht="13.5" customHeight="1" x14ac:dyDescent="0.35">
      <c r="A5" s="170">
        <v>61001</v>
      </c>
      <c r="B5" s="170" t="s">
        <v>200</v>
      </c>
      <c r="C5" s="167">
        <v>310.27</v>
      </c>
      <c r="D5" s="169">
        <v>0.25</v>
      </c>
      <c r="E5" s="166">
        <f t="shared" si="0"/>
        <v>12.827024999999999</v>
      </c>
      <c r="F5" s="166">
        <f t="shared" si="1"/>
        <v>24.188773312595867</v>
      </c>
      <c r="G5" s="166">
        <f t="shared" si="2"/>
        <v>1.9490100003703121E-2</v>
      </c>
      <c r="H5" s="166">
        <f t="shared" si="3"/>
        <v>24.208263412599571</v>
      </c>
      <c r="I5" s="164">
        <f t="shared" si="4"/>
        <v>62752.695</v>
      </c>
      <c r="J5" s="164">
        <f t="shared" si="5"/>
        <v>1519133.77041052</v>
      </c>
      <c r="K5" s="164">
        <f t="shared" si="6"/>
        <v>471539.1223354254</v>
      </c>
      <c r="L5" s="164">
        <v>0</v>
      </c>
      <c r="M5" s="164">
        <f t="shared" si="7"/>
        <v>1990672.8927459454</v>
      </c>
      <c r="N5" s="149">
        <v>0</v>
      </c>
      <c r="O5" s="149">
        <f t="shared" si="8"/>
        <v>1990672.8927459454</v>
      </c>
    </row>
    <row r="6" spans="1:15" ht="13.5" customHeight="1" x14ac:dyDescent="0.35">
      <c r="A6" s="170">
        <v>11001</v>
      </c>
      <c r="B6" s="170" t="s">
        <v>201</v>
      </c>
      <c r="C6" s="167">
        <v>317</v>
      </c>
      <c r="D6" s="169">
        <v>3.25</v>
      </c>
      <c r="E6" s="166">
        <f t="shared" si="0"/>
        <v>12.8775</v>
      </c>
      <c r="F6" s="166">
        <f t="shared" si="1"/>
        <v>24.616579304989322</v>
      </c>
      <c r="G6" s="166">
        <f t="shared" si="2"/>
        <v>0.25237817899437004</v>
      </c>
      <c r="H6" s="166">
        <f t="shared" si="3"/>
        <v>24.868957483983692</v>
      </c>
      <c r="I6" s="164">
        <f t="shared" si="4"/>
        <v>62752.695</v>
      </c>
      <c r="J6" s="164">
        <f t="shared" si="5"/>
        <v>1560594.103960396</v>
      </c>
      <c r="K6" s="164">
        <f t="shared" si="6"/>
        <v>484408.40986930695</v>
      </c>
      <c r="L6" s="164">
        <v>0</v>
      </c>
      <c r="M6" s="164">
        <f t="shared" si="7"/>
        <v>2045002.513829703</v>
      </c>
      <c r="N6" s="149">
        <v>0</v>
      </c>
      <c r="O6" s="149">
        <f t="shared" si="8"/>
        <v>2045002.513829703</v>
      </c>
    </row>
    <row r="7" spans="1:15" ht="13.5" customHeight="1" x14ac:dyDescent="0.35">
      <c r="A7" s="170">
        <v>38001</v>
      </c>
      <c r="B7" s="170" t="s">
        <v>202</v>
      </c>
      <c r="C7" s="167">
        <v>259</v>
      </c>
      <c r="D7" s="169">
        <v>0</v>
      </c>
      <c r="E7" s="166">
        <f t="shared" si="0"/>
        <v>12.442499999999999</v>
      </c>
      <c r="F7" s="166">
        <f t="shared" si="1"/>
        <v>20.815752461322084</v>
      </c>
      <c r="G7" s="166">
        <f t="shared" si="2"/>
        <v>0</v>
      </c>
      <c r="H7" s="166">
        <f t="shared" si="3"/>
        <v>20.815752461322084</v>
      </c>
      <c r="I7" s="164">
        <f t="shared" si="4"/>
        <v>62752.695</v>
      </c>
      <c r="J7" s="164">
        <f t="shared" si="5"/>
        <v>1306244.565400844</v>
      </c>
      <c r="K7" s="164">
        <f t="shared" si="6"/>
        <v>405458.31310042198</v>
      </c>
      <c r="L7" s="164">
        <v>0</v>
      </c>
      <c r="M7" s="164">
        <f t="shared" si="7"/>
        <v>1711702.878501266</v>
      </c>
      <c r="N7" s="149">
        <v>0</v>
      </c>
      <c r="O7" s="149">
        <f t="shared" si="8"/>
        <v>1711702.878501266</v>
      </c>
    </row>
    <row r="8" spans="1:15" ht="13.5" customHeight="1" x14ac:dyDescent="0.35">
      <c r="A8" s="170">
        <v>21001</v>
      </c>
      <c r="B8" s="170" t="s">
        <v>203</v>
      </c>
      <c r="C8" s="167">
        <v>168</v>
      </c>
      <c r="D8" s="169">
        <v>0</v>
      </c>
      <c r="E8" s="166">
        <f t="shared" si="0"/>
        <v>12</v>
      </c>
      <c r="F8" s="166">
        <f t="shared" si="1"/>
        <v>14</v>
      </c>
      <c r="G8" s="166">
        <f t="shared" si="2"/>
        <v>0</v>
      </c>
      <c r="H8" s="166">
        <f t="shared" si="3"/>
        <v>14</v>
      </c>
      <c r="I8" s="164">
        <f t="shared" si="4"/>
        <v>62752.695</v>
      </c>
      <c r="J8" s="164">
        <f t="shared" si="5"/>
        <v>878537.73</v>
      </c>
      <c r="K8" s="164">
        <f t="shared" si="6"/>
        <v>272698.11139199999</v>
      </c>
      <c r="L8" s="164">
        <v>0</v>
      </c>
      <c r="M8" s="164">
        <f t="shared" si="7"/>
        <v>1151235.841392</v>
      </c>
      <c r="N8" s="149">
        <v>0</v>
      </c>
      <c r="O8" s="149">
        <f t="shared" si="8"/>
        <v>1151235.841392</v>
      </c>
    </row>
    <row r="9" spans="1:15" ht="13.5" customHeight="1" x14ac:dyDescent="0.35">
      <c r="A9" s="170">
        <v>4001</v>
      </c>
      <c r="B9" s="170" t="s">
        <v>204</v>
      </c>
      <c r="C9" s="167">
        <v>233</v>
      </c>
      <c r="D9" s="169">
        <v>0</v>
      </c>
      <c r="E9" s="166">
        <f t="shared" si="0"/>
        <v>12.2475</v>
      </c>
      <c r="F9" s="166">
        <f t="shared" si="1"/>
        <v>19.024290671565623</v>
      </c>
      <c r="G9" s="166">
        <f t="shared" si="2"/>
        <v>0</v>
      </c>
      <c r="H9" s="166">
        <f t="shared" si="3"/>
        <v>19.024290671565623</v>
      </c>
      <c r="I9" s="164">
        <f t="shared" si="4"/>
        <v>62752.695</v>
      </c>
      <c r="J9" s="164">
        <f t="shared" si="5"/>
        <v>1193825.5101041028</v>
      </c>
      <c r="K9" s="164">
        <f t="shared" si="6"/>
        <v>370563.43833631353</v>
      </c>
      <c r="L9" s="164">
        <v>0</v>
      </c>
      <c r="M9" s="164">
        <f t="shared" si="7"/>
        <v>1564388.9484404163</v>
      </c>
      <c r="N9" s="149">
        <v>0</v>
      </c>
      <c r="O9" s="149">
        <f t="shared" si="8"/>
        <v>1564388.9484404163</v>
      </c>
    </row>
    <row r="10" spans="1:15" ht="13.5" customHeight="1" x14ac:dyDescent="0.35">
      <c r="A10" s="170">
        <v>49001</v>
      </c>
      <c r="B10" s="170" t="s">
        <v>205</v>
      </c>
      <c r="C10" s="167">
        <v>491</v>
      </c>
      <c r="D10" s="169">
        <v>0</v>
      </c>
      <c r="E10" s="166">
        <f t="shared" si="0"/>
        <v>14.182499999999999</v>
      </c>
      <c r="F10" s="166">
        <f t="shared" si="1"/>
        <v>34.62013044244668</v>
      </c>
      <c r="G10" s="166">
        <f t="shared" si="2"/>
        <v>0</v>
      </c>
      <c r="H10" s="166">
        <f t="shared" si="3"/>
        <v>34.62013044244668</v>
      </c>
      <c r="I10" s="164">
        <f t="shared" si="4"/>
        <v>62752.695</v>
      </c>
      <c r="J10" s="164">
        <f t="shared" si="5"/>
        <v>2172506.4865150717</v>
      </c>
      <c r="K10" s="164">
        <f t="shared" si="6"/>
        <v>674346.01341427828</v>
      </c>
      <c r="L10" s="164">
        <v>0</v>
      </c>
      <c r="M10" s="164">
        <f t="shared" si="7"/>
        <v>2846852.4999293499</v>
      </c>
      <c r="N10" s="149">
        <v>0</v>
      </c>
      <c r="O10" s="149">
        <f t="shared" si="8"/>
        <v>2846852.4999293499</v>
      </c>
    </row>
    <row r="11" spans="1:15" ht="13.5" customHeight="1" x14ac:dyDescent="0.35">
      <c r="A11" s="170">
        <v>9001</v>
      </c>
      <c r="B11" s="170" t="s">
        <v>206</v>
      </c>
      <c r="C11" s="167">
        <v>1385.21</v>
      </c>
      <c r="D11" s="169">
        <v>1.5</v>
      </c>
      <c r="E11" s="166">
        <f t="shared" si="0"/>
        <v>15</v>
      </c>
      <c r="F11" s="166">
        <f t="shared" si="1"/>
        <v>92.347333333333339</v>
      </c>
      <c r="G11" s="166">
        <f t="shared" si="2"/>
        <v>0.1</v>
      </c>
      <c r="H11" s="166">
        <f t="shared" si="3"/>
        <v>92.447333333333333</v>
      </c>
      <c r="I11" s="164">
        <f t="shared" si="4"/>
        <v>62752.695</v>
      </c>
      <c r="J11" s="164">
        <f t="shared" si="5"/>
        <v>5801319.3122300003</v>
      </c>
      <c r="K11" s="164">
        <f t="shared" si="6"/>
        <v>1800729.514516192</v>
      </c>
      <c r="L11" s="164">
        <v>0</v>
      </c>
      <c r="M11" s="164">
        <f t="shared" si="7"/>
        <v>7602048.8267461918</v>
      </c>
      <c r="N11" s="149">
        <v>0</v>
      </c>
      <c r="O11" s="149">
        <f t="shared" si="8"/>
        <v>7602048.8267461918</v>
      </c>
    </row>
    <row r="12" spans="1:15" ht="13.5" customHeight="1" x14ac:dyDescent="0.35">
      <c r="A12" s="170">
        <v>3001</v>
      </c>
      <c r="B12" s="170" t="s">
        <v>207</v>
      </c>
      <c r="C12" s="167">
        <v>481</v>
      </c>
      <c r="D12" s="169">
        <v>0</v>
      </c>
      <c r="E12" s="166">
        <f t="shared" si="0"/>
        <v>14.1075</v>
      </c>
      <c r="F12" s="166">
        <f t="shared" si="1"/>
        <v>34.095339358497256</v>
      </c>
      <c r="G12" s="166">
        <f t="shared" si="2"/>
        <v>0</v>
      </c>
      <c r="H12" s="166">
        <f t="shared" si="3"/>
        <v>34.095339358497256</v>
      </c>
      <c r="I12" s="164">
        <f t="shared" si="4"/>
        <v>62752.695</v>
      </c>
      <c r="J12" s="164">
        <f t="shared" si="5"/>
        <v>2139574.431685274</v>
      </c>
      <c r="K12" s="164">
        <f t="shared" si="6"/>
        <v>664123.90359510912</v>
      </c>
      <c r="L12" s="164">
        <v>0</v>
      </c>
      <c r="M12" s="164">
        <f t="shared" si="7"/>
        <v>2803698.335280383</v>
      </c>
      <c r="N12" s="149">
        <v>0</v>
      </c>
      <c r="O12" s="149">
        <f t="shared" si="8"/>
        <v>2803698.335280383</v>
      </c>
    </row>
    <row r="13" spans="1:15" ht="13.5" customHeight="1" x14ac:dyDescent="0.35">
      <c r="A13" s="170">
        <v>61002</v>
      </c>
      <c r="B13" s="170" t="s">
        <v>208</v>
      </c>
      <c r="C13" s="167">
        <v>675.12</v>
      </c>
      <c r="D13" s="169">
        <v>0</v>
      </c>
      <c r="E13" s="166">
        <f t="shared" si="0"/>
        <v>15</v>
      </c>
      <c r="F13" s="166">
        <f t="shared" si="1"/>
        <v>45.008000000000003</v>
      </c>
      <c r="G13" s="166">
        <f t="shared" si="2"/>
        <v>0</v>
      </c>
      <c r="H13" s="166">
        <f t="shared" si="3"/>
        <v>45.008000000000003</v>
      </c>
      <c r="I13" s="164">
        <f t="shared" si="4"/>
        <v>62752.695</v>
      </c>
      <c r="J13" s="164">
        <f t="shared" si="5"/>
        <v>2824373.2965600002</v>
      </c>
      <c r="K13" s="164">
        <f t="shared" si="6"/>
        <v>876685.47125222406</v>
      </c>
      <c r="L13" s="164">
        <v>0</v>
      </c>
      <c r="M13" s="164">
        <f t="shared" si="7"/>
        <v>3701058.7678122241</v>
      </c>
      <c r="N13" s="149">
        <v>0</v>
      </c>
      <c r="O13" s="149">
        <f t="shared" si="8"/>
        <v>3701058.7678122241</v>
      </c>
    </row>
    <row r="14" spans="1:15" ht="13.5" customHeight="1" x14ac:dyDescent="0.35">
      <c r="A14" s="170">
        <v>25001</v>
      </c>
      <c r="B14" s="170" t="s">
        <v>209</v>
      </c>
      <c r="C14" s="167">
        <v>90</v>
      </c>
      <c r="D14" s="169">
        <v>0.25</v>
      </c>
      <c r="E14" s="166">
        <f t="shared" si="0"/>
        <v>12</v>
      </c>
      <c r="F14" s="166">
        <f t="shared" si="1"/>
        <v>7.5</v>
      </c>
      <c r="G14" s="166">
        <f t="shared" si="2"/>
        <v>2.0833333333333332E-2</v>
      </c>
      <c r="H14" s="166">
        <f t="shared" si="3"/>
        <v>7.520833333333333</v>
      </c>
      <c r="I14" s="164">
        <f t="shared" si="4"/>
        <v>62752.695</v>
      </c>
      <c r="J14" s="164">
        <f t="shared" si="5"/>
        <v>471952.56031249999</v>
      </c>
      <c r="K14" s="164">
        <f t="shared" si="6"/>
        <v>146494.07472100001</v>
      </c>
      <c r="L14" s="164">
        <v>0</v>
      </c>
      <c r="M14" s="164">
        <f t="shared" si="7"/>
        <v>618446.63503350003</v>
      </c>
      <c r="N14" s="149">
        <v>0</v>
      </c>
      <c r="O14" s="149">
        <f t="shared" si="8"/>
        <v>618446.63503350003</v>
      </c>
    </row>
    <row r="15" spans="1:15" ht="13.5" customHeight="1" x14ac:dyDescent="0.35">
      <c r="A15" s="170">
        <v>52001</v>
      </c>
      <c r="B15" s="170" t="s">
        <v>210</v>
      </c>
      <c r="C15" s="167">
        <v>152</v>
      </c>
      <c r="D15" s="169">
        <v>0</v>
      </c>
      <c r="E15" s="166">
        <f t="shared" si="0"/>
        <v>12</v>
      </c>
      <c r="F15" s="166">
        <f t="shared" si="1"/>
        <v>12.666666666666666</v>
      </c>
      <c r="G15" s="166">
        <f t="shared" si="2"/>
        <v>0</v>
      </c>
      <c r="H15" s="166">
        <f t="shared" si="3"/>
        <v>12.666666666666666</v>
      </c>
      <c r="I15" s="164">
        <f t="shared" si="4"/>
        <v>62752.695</v>
      </c>
      <c r="J15" s="164">
        <f t="shared" si="5"/>
        <v>794867.47</v>
      </c>
      <c r="K15" s="164">
        <f t="shared" si="6"/>
        <v>246726.86268799999</v>
      </c>
      <c r="L15" s="164">
        <v>0</v>
      </c>
      <c r="M15" s="164">
        <f t="shared" si="7"/>
        <v>1041594.3326879999</v>
      </c>
      <c r="N15" s="149">
        <v>0</v>
      </c>
      <c r="O15" s="149">
        <f t="shared" si="8"/>
        <v>1041594.3326879999</v>
      </c>
    </row>
    <row r="16" spans="1:15" ht="13.5" customHeight="1" x14ac:dyDescent="0.35">
      <c r="A16" s="170">
        <v>4002</v>
      </c>
      <c r="B16" s="170" t="s">
        <v>211</v>
      </c>
      <c r="C16" s="167">
        <v>524</v>
      </c>
      <c r="D16" s="169">
        <v>6.25</v>
      </c>
      <c r="E16" s="166">
        <f t="shared" si="0"/>
        <v>14.43</v>
      </c>
      <c r="F16" s="166">
        <f t="shared" si="1"/>
        <v>36.313236313236317</v>
      </c>
      <c r="G16" s="166">
        <f t="shared" si="2"/>
        <v>0.43312543312543311</v>
      </c>
      <c r="H16" s="166">
        <f t="shared" si="3"/>
        <v>36.74636174636175</v>
      </c>
      <c r="I16" s="164">
        <f t="shared" si="4"/>
        <v>62752.695</v>
      </c>
      <c r="J16" s="164">
        <f t="shared" si="5"/>
        <v>2305933.2310291063</v>
      </c>
      <c r="K16" s="164">
        <f t="shared" si="6"/>
        <v>715761.67491143465</v>
      </c>
      <c r="L16" s="164">
        <v>0</v>
      </c>
      <c r="M16" s="164">
        <f t="shared" si="7"/>
        <v>3021694.9059405411</v>
      </c>
      <c r="N16" s="149">
        <v>0</v>
      </c>
      <c r="O16" s="149">
        <f t="shared" si="8"/>
        <v>3021694.9059405411</v>
      </c>
    </row>
    <row r="17" spans="1:15" ht="13.5" customHeight="1" x14ac:dyDescent="0.35">
      <c r="A17" s="170">
        <v>22001</v>
      </c>
      <c r="B17" s="170" t="s">
        <v>212</v>
      </c>
      <c r="C17" s="167">
        <v>109</v>
      </c>
      <c r="D17" s="169">
        <v>0</v>
      </c>
      <c r="E17" s="166">
        <f t="shared" si="0"/>
        <v>12</v>
      </c>
      <c r="F17" s="166">
        <f t="shared" si="1"/>
        <v>9.0833333333333339</v>
      </c>
      <c r="G17" s="166">
        <f t="shared" si="2"/>
        <v>0</v>
      </c>
      <c r="H17" s="166">
        <f t="shared" si="3"/>
        <v>9.0833333333333339</v>
      </c>
      <c r="I17" s="164">
        <f t="shared" si="4"/>
        <v>62752.695</v>
      </c>
      <c r="J17" s="164">
        <f t="shared" si="5"/>
        <v>570003.64624999999</v>
      </c>
      <c r="K17" s="164">
        <f t="shared" si="6"/>
        <v>176929.131796</v>
      </c>
      <c r="L17" s="164">
        <v>0</v>
      </c>
      <c r="M17" s="164">
        <f t="shared" si="7"/>
        <v>746932.77804600005</v>
      </c>
      <c r="N17" s="149">
        <v>0</v>
      </c>
      <c r="O17" s="149">
        <f t="shared" si="8"/>
        <v>746932.77804600005</v>
      </c>
    </row>
    <row r="18" spans="1:15" ht="13.5" customHeight="1" x14ac:dyDescent="0.35">
      <c r="A18" s="170">
        <v>49002</v>
      </c>
      <c r="B18" s="170" t="s">
        <v>213</v>
      </c>
      <c r="C18" s="167">
        <v>4057.03</v>
      </c>
      <c r="D18" s="169">
        <v>8</v>
      </c>
      <c r="E18" s="166">
        <f t="shared" si="0"/>
        <v>15</v>
      </c>
      <c r="F18" s="166">
        <f t="shared" si="1"/>
        <v>270.46866666666671</v>
      </c>
      <c r="G18" s="166">
        <f t="shared" si="2"/>
        <v>0.53333333333333333</v>
      </c>
      <c r="H18" s="166">
        <f t="shared" si="3"/>
        <v>271.00200000000007</v>
      </c>
      <c r="I18" s="164">
        <f t="shared" si="4"/>
        <v>62752.695</v>
      </c>
      <c r="J18" s="164">
        <f t="shared" si="5"/>
        <v>17006105.850390006</v>
      </c>
      <c r="K18" s="164">
        <f t="shared" si="6"/>
        <v>5278695.2559610577</v>
      </c>
      <c r="L18" s="164">
        <v>0</v>
      </c>
      <c r="M18" s="164">
        <f t="shared" si="7"/>
        <v>22284801.106351063</v>
      </c>
      <c r="N18" s="149">
        <v>0</v>
      </c>
      <c r="O18" s="149">
        <f t="shared" si="8"/>
        <v>22284801.106351063</v>
      </c>
    </row>
    <row r="19" spans="1:15" ht="13.5" customHeight="1" x14ac:dyDescent="0.35">
      <c r="A19" s="170">
        <v>30003</v>
      </c>
      <c r="B19" s="170" t="s">
        <v>388</v>
      </c>
      <c r="C19" s="167">
        <v>334.1</v>
      </c>
      <c r="D19" s="169">
        <v>0.75</v>
      </c>
      <c r="E19" s="166">
        <f t="shared" si="0"/>
        <v>13.005749999999999</v>
      </c>
      <c r="F19" s="166">
        <f t="shared" si="1"/>
        <v>25.688637717932458</v>
      </c>
      <c r="G19" s="166">
        <f t="shared" si="2"/>
        <v>5.7666801222536188E-2</v>
      </c>
      <c r="H19" s="166">
        <f t="shared" si="3"/>
        <v>25.746304519154993</v>
      </c>
      <c r="I19" s="164">
        <f t="shared" si="4"/>
        <v>62752.695</v>
      </c>
      <c r="J19" s="164">
        <f t="shared" si="5"/>
        <v>1615649.994867655</v>
      </c>
      <c r="K19" s="164">
        <f t="shared" si="6"/>
        <v>501497.75840692013</v>
      </c>
      <c r="L19" s="164">
        <v>0</v>
      </c>
      <c r="M19" s="164">
        <f t="shared" si="7"/>
        <v>2117147.7532745749</v>
      </c>
      <c r="N19" s="149">
        <v>0</v>
      </c>
      <c r="O19" s="149">
        <f t="shared" si="8"/>
        <v>2117147.7532745749</v>
      </c>
    </row>
    <row r="20" spans="1:15" ht="13.5" customHeight="1" x14ac:dyDescent="0.35">
      <c r="A20" s="170">
        <v>45004</v>
      </c>
      <c r="B20" s="170" t="s">
        <v>377</v>
      </c>
      <c r="C20" s="167">
        <v>414.24</v>
      </c>
      <c r="D20" s="169">
        <v>5.75</v>
      </c>
      <c r="E20" s="166">
        <f t="shared" si="0"/>
        <v>13.6068</v>
      </c>
      <c r="F20" s="166">
        <f t="shared" si="1"/>
        <v>30.443601728547492</v>
      </c>
      <c r="G20" s="166">
        <f t="shared" si="2"/>
        <v>0.42258282623394183</v>
      </c>
      <c r="H20" s="166">
        <f t="shared" si="3"/>
        <v>30.866184554781434</v>
      </c>
      <c r="I20" s="164">
        <f t="shared" si="4"/>
        <v>62752.695</v>
      </c>
      <c r="J20" s="164">
        <f t="shared" si="5"/>
        <v>1936936.26517991</v>
      </c>
      <c r="K20" s="164">
        <f t="shared" si="6"/>
        <v>601225.01671184413</v>
      </c>
      <c r="L20" s="164">
        <v>0</v>
      </c>
      <c r="M20" s="164">
        <f t="shared" si="7"/>
        <v>2538161.2818917539</v>
      </c>
      <c r="N20" s="149">
        <v>0</v>
      </c>
      <c r="O20" s="149">
        <f t="shared" si="8"/>
        <v>2538161.2818917539</v>
      </c>
    </row>
    <row r="21" spans="1:15" ht="13.5" customHeight="1" x14ac:dyDescent="0.35">
      <c r="A21" s="170">
        <v>5001</v>
      </c>
      <c r="B21" s="170" t="s">
        <v>216</v>
      </c>
      <c r="C21" s="167">
        <v>3402.6</v>
      </c>
      <c r="D21" s="169">
        <v>19.5</v>
      </c>
      <c r="E21" s="166">
        <f t="shared" si="0"/>
        <v>15</v>
      </c>
      <c r="F21" s="166">
        <f t="shared" si="1"/>
        <v>226.84</v>
      </c>
      <c r="G21" s="166">
        <f t="shared" si="2"/>
        <v>1.3</v>
      </c>
      <c r="H21" s="166">
        <f t="shared" si="3"/>
        <v>228.14000000000001</v>
      </c>
      <c r="I21" s="164">
        <f t="shared" si="4"/>
        <v>62752.695</v>
      </c>
      <c r="J21" s="164">
        <f t="shared" si="5"/>
        <v>14316399.837300001</v>
      </c>
      <c r="K21" s="164">
        <f t="shared" si="6"/>
        <v>4443810.5094979201</v>
      </c>
      <c r="L21" s="164">
        <v>0</v>
      </c>
      <c r="M21" s="164">
        <f t="shared" si="7"/>
        <v>18760210.346797921</v>
      </c>
      <c r="N21" s="149">
        <v>0</v>
      </c>
      <c r="O21" s="149">
        <f t="shared" si="8"/>
        <v>18760210.346797921</v>
      </c>
    </row>
    <row r="22" spans="1:15" ht="13.5" customHeight="1" x14ac:dyDescent="0.35">
      <c r="A22" s="170">
        <v>26002</v>
      </c>
      <c r="B22" s="170" t="s">
        <v>217</v>
      </c>
      <c r="C22" s="167">
        <v>229</v>
      </c>
      <c r="D22" s="169">
        <v>0</v>
      </c>
      <c r="E22" s="166">
        <f t="shared" si="0"/>
        <v>12.217499999999999</v>
      </c>
      <c r="F22" s="166">
        <f t="shared" si="1"/>
        <v>18.743605483936978</v>
      </c>
      <c r="G22" s="166">
        <f t="shared" si="2"/>
        <v>0</v>
      </c>
      <c r="H22" s="166">
        <f t="shared" si="3"/>
        <v>18.743605483936978</v>
      </c>
      <c r="I22" s="164">
        <f t="shared" si="4"/>
        <v>62752.695</v>
      </c>
      <c r="J22" s="164">
        <f t="shared" si="5"/>
        <v>1176211.7581338247</v>
      </c>
      <c r="K22" s="164">
        <f t="shared" si="6"/>
        <v>365096.12972473918</v>
      </c>
      <c r="L22" s="164">
        <v>0</v>
      </c>
      <c r="M22" s="164">
        <f t="shared" si="7"/>
        <v>1541307.8878585638</v>
      </c>
      <c r="N22" s="149">
        <v>0</v>
      </c>
      <c r="O22" s="149">
        <f t="shared" si="8"/>
        <v>1541307.8878585638</v>
      </c>
    </row>
    <row r="23" spans="1:15" ht="13.5" customHeight="1" x14ac:dyDescent="0.35">
      <c r="A23" s="170">
        <v>43001</v>
      </c>
      <c r="B23" s="170" t="s">
        <v>218</v>
      </c>
      <c r="C23" s="167">
        <v>210.53</v>
      </c>
      <c r="D23" s="169">
        <v>0.25</v>
      </c>
      <c r="E23" s="166">
        <f t="shared" si="0"/>
        <v>12.078975</v>
      </c>
      <c r="F23" s="166">
        <f t="shared" si="1"/>
        <v>17.429459039363852</v>
      </c>
      <c r="G23" s="166">
        <f t="shared" si="2"/>
        <v>2.0697120409637407E-2</v>
      </c>
      <c r="H23" s="166">
        <f t="shared" si="3"/>
        <v>17.450156159773488</v>
      </c>
      <c r="I23" s="164">
        <f t="shared" si="4"/>
        <v>62752.695</v>
      </c>
      <c r="J23" s="164">
        <f t="shared" si="5"/>
        <v>1095044.3271966369</v>
      </c>
      <c r="K23" s="164">
        <f t="shared" si="6"/>
        <v>339901.75916183612</v>
      </c>
      <c r="L23" s="164">
        <v>0</v>
      </c>
      <c r="M23" s="164">
        <f t="shared" si="7"/>
        <v>1434946.0863584732</v>
      </c>
      <c r="N23" s="149">
        <v>0</v>
      </c>
      <c r="O23" s="149">
        <f t="shared" si="8"/>
        <v>1434946.0863584732</v>
      </c>
    </row>
    <row r="24" spans="1:15" ht="13.5" customHeight="1" x14ac:dyDescent="0.35">
      <c r="A24" s="170">
        <v>41001</v>
      </c>
      <c r="B24" s="170" t="s">
        <v>219</v>
      </c>
      <c r="C24" s="167">
        <v>877.25</v>
      </c>
      <c r="D24" s="169">
        <v>0.75</v>
      </c>
      <c r="E24" s="166">
        <f t="shared" si="0"/>
        <v>15</v>
      </c>
      <c r="F24" s="166">
        <f t="shared" si="1"/>
        <v>58.483333333333334</v>
      </c>
      <c r="G24" s="166">
        <f t="shared" si="2"/>
        <v>0.05</v>
      </c>
      <c r="H24" s="166">
        <f t="shared" si="3"/>
        <v>58.533333333333331</v>
      </c>
      <c r="I24" s="164">
        <f t="shared" si="4"/>
        <v>62752.695</v>
      </c>
      <c r="J24" s="164">
        <f t="shared" si="5"/>
        <v>3673124.4139999999</v>
      </c>
      <c r="K24" s="164">
        <f t="shared" si="6"/>
        <v>1140137.8181056001</v>
      </c>
      <c r="L24" s="164">
        <v>6995</v>
      </c>
      <c r="M24" s="164">
        <f t="shared" si="7"/>
        <v>4820257.2321055997</v>
      </c>
      <c r="N24" s="149">
        <v>0</v>
      </c>
      <c r="O24" s="149">
        <f t="shared" si="8"/>
        <v>4820257.2321055997</v>
      </c>
    </row>
    <row r="25" spans="1:15" ht="13.5" customHeight="1" x14ac:dyDescent="0.35">
      <c r="A25" s="170">
        <v>28001</v>
      </c>
      <c r="B25" s="170" t="s">
        <v>220</v>
      </c>
      <c r="C25" s="167">
        <v>288</v>
      </c>
      <c r="D25" s="169">
        <v>1.25</v>
      </c>
      <c r="E25" s="166">
        <f t="shared" si="0"/>
        <v>12.66</v>
      </c>
      <c r="F25" s="166">
        <f t="shared" si="1"/>
        <v>22.748815165876778</v>
      </c>
      <c r="G25" s="166">
        <f t="shared" si="2"/>
        <v>9.873617693522907E-2</v>
      </c>
      <c r="H25" s="166">
        <f t="shared" si="3"/>
        <v>22.847551342812007</v>
      </c>
      <c r="I25" s="164">
        <f t="shared" si="4"/>
        <v>62752.695</v>
      </c>
      <c r="J25" s="164">
        <f t="shared" si="5"/>
        <v>1433745.4209123224</v>
      </c>
      <c r="K25" s="164">
        <f t="shared" si="6"/>
        <v>445034.57865118486</v>
      </c>
      <c r="L25" s="164">
        <v>0</v>
      </c>
      <c r="M25" s="164">
        <f t="shared" si="7"/>
        <v>1878779.9995635073</v>
      </c>
      <c r="N25" s="149">
        <v>0</v>
      </c>
      <c r="O25" s="149">
        <f t="shared" si="8"/>
        <v>1878779.9995635073</v>
      </c>
    </row>
    <row r="26" spans="1:15" ht="13.5" customHeight="1" x14ac:dyDescent="0.35">
      <c r="A26" s="170">
        <v>60001</v>
      </c>
      <c r="B26" s="170" t="s">
        <v>221</v>
      </c>
      <c r="C26" s="167">
        <v>266.39</v>
      </c>
      <c r="D26" s="169">
        <v>0</v>
      </c>
      <c r="E26" s="166">
        <f t="shared" si="0"/>
        <v>12.497925</v>
      </c>
      <c r="F26" s="166">
        <f t="shared" si="1"/>
        <v>21.314738246548924</v>
      </c>
      <c r="G26" s="166">
        <f t="shared" si="2"/>
        <v>0</v>
      </c>
      <c r="H26" s="166">
        <f t="shared" si="3"/>
        <v>21.314738246548924</v>
      </c>
      <c r="I26" s="164">
        <f t="shared" si="4"/>
        <v>62752.695</v>
      </c>
      <c r="J26" s="164">
        <f t="shared" si="5"/>
        <v>1337557.2681905194</v>
      </c>
      <c r="K26" s="164">
        <f t="shared" si="6"/>
        <v>415177.77604633727</v>
      </c>
      <c r="L26" s="164">
        <v>0</v>
      </c>
      <c r="M26" s="164">
        <f t="shared" si="7"/>
        <v>1752735.0442368567</v>
      </c>
      <c r="N26" s="149">
        <v>0</v>
      </c>
      <c r="O26" s="149">
        <f t="shared" si="8"/>
        <v>1752735.0442368567</v>
      </c>
    </row>
    <row r="27" spans="1:15" ht="13.5" customHeight="1" x14ac:dyDescent="0.35">
      <c r="A27" s="170">
        <v>7001</v>
      </c>
      <c r="B27" s="170" t="s">
        <v>222</v>
      </c>
      <c r="C27" s="167">
        <v>900.08</v>
      </c>
      <c r="D27" s="169">
        <v>0</v>
      </c>
      <c r="E27" s="166">
        <f t="shared" si="0"/>
        <v>15</v>
      </c>
      <c r="F27" s="166">
        <f t="shared" si="1"/>
        <v>60.005333333333333</v>
      </c>
      <c r="G27" s="166">
        <f t="shared" si="2"/>
        <v>0</v>
      </c>
      <c r="H27" s="166">
        <f t="shared" si="3"/>
        <v>60.005333333333333</v>
      </c>
      <c r="I27" s="164">
        <f t="shared" si="4"/>
        <v>62752.695</v>
      </c>
      <c r="J27" s="164">
        <f t="shared" si="5"/>
        <v>3765496.3810399999</v>
      </c>
      <c r="K27" s="164">
        <f t="shared" si="6"/>
        <v>1168810.076674816</v>
      </c>
      <c r="L27" s="164">
        <v>0</v>
      </c>
      <c r="M27" s="164">
        <f t="shared" si="7"/>
        <v>4934306.4577148156</v>
      </c>
      <c r="N27" s="149">
        <v>0</v>
      </c>
      <c r="O27" s="149">
        <f t="shared" si="8"/>
        <v>4934306.4577148156</v>
      </c>
    </row>
    <row r="28" spans="1:15" ht="13.5" customHeight="1" x14ac:dyDescent="0.35">
      <c r="A28" s="170">
        <v>39001</v>
      </c>
      <c r="B28" s="170" t="s">
        <v>376</v>
      </c>
      <c r="C28" s="167">
        <v>561</v>
      </c>
      <c r="D28" s="169">
        <v>1.75</v>
      </c>
      <c r="E28" s="166">
        <f t="shared" si="0"/>
        <v>14.7075</v>
      </c>
      <c r="F28" s="166">
        <f t="shared" si="1"/>
        <v>38.143804181540034</v>
      </c>
      <c r="G28" s="166">
        <f t="shared" si="2"/>
        <v>0.11898691143974163</v>
      </c>
      <c r="H28" s="166">
        <f t="shared" si="3"/>
        <v>38.262791092979775</v>
      </c>
      <c r="I28" s="164">
        <f t="shared" si="4"/>
        <v>62752.695</v>
      </c>
      <c r="J28" s="164">
        <f t="shared" si="5"/>
        <v>2401093.2593064765</v>
      </c>
      <c r="K28" s="164">
        <f t="shared" si="6"/>
        <v>745299.34768873034</v>
      </c>
      <c r="L28" s="164">
        <v>0</v>
      </c>
      <c r="M28" s="164">
        <f t="shared" si="7"/>
        <v>3146392.6069952068</v>
      </c>
      <c r="N28" s="149">
        <v>0</v>
      </c>
      <c r="O28" s="149">
        <f t="shared" si="8"/>
        <v>3146392.6069952068</v>
      </c>
    </row>
    <row r="29" spans="1:15" ht="13.5" customHeight="1" x14ac:dyDescent="0.35">
      <c r="A29" s="170">
        <v>12002</v>
      </c>
      <c r="B29" s="170" t="s">
        <v>224</v>
      </c>
      <c r="C29" s="167">
        <v>356</v>
      </c>
      <c r="D29" s="169">
        <v>16</v>
      </c>
      <c r="E29" s="166">
        <f t="shared" si="0"/>
        <v>13.17</v>
      </c>
      <c r="F29" s="166">
        <f t="shared" si="1"/>
        <v>27.031131359149583</v>
      </c>
      <c r="G29" s="166">
        <f t="shared" si="2"/>
        <v>1.2148823082763858</v>
      </c>
      <c r="H29" s="166">
        <f t="shared" si="3"/>
        <v>28.24601366742597</v>
      </c>
      <c r="I29" s="164">
        <f t="shared" si="4"/>
        <v>62752.695</v>
      </c>
      <c r="J29" s="164">
        <f t="shared" si="5"/>
        <v>1772513.4806378132</v>
      </c>
      <c r="K29" s="164">
        <f t="shared" si="6"/>
        <v>550188.18438997725</v>
      </c>
      <c r="L29" s="164">
        <v>0</v>
      </c>
      <c r="M29" s="164">
        <f t="shared" si="7"/>
        <v>2322701.6650277907</v>
      </c>
      <c r="N29" s="149">
        <v>0</v>
      </c>
      <c r="O29" s="149">
        <f t="shared" si="8"/>
        <v>2322701.6650277907</v>
      </c>
    </row>
    <row r="30" spans="1:15" ht="13.5" customHeight="1" x14ac:dyDescent="0.35">
      <c r="A30" s="170">
        <v>50005</v>
      </c>
      <c r="B30" s="170" t="s">
        <v>225</v>
      </c>
      <c r="C30" s="167">
        <v>247</v>
      </c>
      <c r="D30" s="169">
        <v>0</v>
      </c>
      <c r="E30" s="166">
        <f t="shared" si="0"/>
        <v>12.352499999999999</v>
      </c>
      <c r="F30" s="166">
        <f t="shared" si="1"/>
        <v>19.995952236389396</v>
      </c>
      <c r="G30" s="166">
        <f t="shared" si="2"/>
        <v>0</v>
      </c>
      <c r="H30" s="166">
        <f t="shared" si="3"/>
        <v>19.995952236389396</v>
      </c>
      <c r="I30" s="164">
        <f t="shared" si="4"/>
        <v>62752.695</v>
      </c>
      <c r="J30" s="164">
        <f t="shared" si="5"/>
        <v>1254799.8919247116</v>
      </c>
      <c r="K30" s="164">
        <f t="shared" si="6"/>
        <v>389489.88645343052</v>
      </c>
      <c r="L30" s="164">
        <v>0</v>
      </c>
      <c r="M30" s="164">
        <f t="shared" si="7"/>
        <v>1644289.778378142</v>
      </c>
      <c r="N30" s="149">
        <v>0</v>
      </c>
      <c r="O30" s="149">
        <f t="shared" si="8"/>
        <v>1644289.778378142</v>
      </c>
    </row>
    <row r="31" spans="1:15" ht="13.5" customHeight="1" x14ac:dyDescent="0.35">
      <c r="A31" s="170">
        <v>59003</v>
      </c>
      <c r="B31" s="170" t="s">
        <v>226</v>
      </c>
      <c r="C31" s="167">
        <v>224</v>
      </c>
      <c r="D31" s="169">
        <v>0</v>
      </c>
      <c r="E31" s="166">
        <f t="shared" si="0"/>
        <v>12.18</v>
      </c>
      <c r="F31" s="166">
        <f t="shared" si="1"/>
        <v>18.390804597701148</v>
      </c>
      <c r="G31" s="166">
        <f t="shared" si="2"/>
        <v>0</v>
      </c>
      <c r="H31" s="166">
        <f t="shared" si="3"/>
        <v>18.390804597701148</v>
      </c>
      <c r="I31" s="164">
        <f t="shared" si="4"/>
        <v>62752.695</v>
      </c>
      <c r="J31" s="164">
        <f t="shared" si="5"/>
        <v>1154072.5517241377</v>
      </c>
      <c r="K31" s="164">
        <f t="shared" si="6"/>
        <v>358224.12005517236</v>
      </c>
      <c r="L31" s="164">
        <v>0</v>
      </c>
      <c r="M31" s="164">
        <f t="shared" si="7"/>
        <v>1512296.6717793101</v>
      </c>
      <c r="N31" s="149">
        <v>0</v>
      </c>
      <c r="O31" s="149">
        <f t="shared" si="8"/>
        <v>1512296.6717793101</v>
      </c>
    </row>
    <row r="32" spans="1:15" ht="13.5" customHeight="1" x14ac:dyDescent="0.35">
      <c r="A32" s="170">
        <v>21003</v>
      </c>
      <c r="B32" s="170" t="s">
        <v>227</v>
      </c>
      <c r="C32" s="167">
        <v>251</v>
      </c>
      <c r="D32" s="169">
        <v>0</v>
      </c>
      <c r="E32" s="166">
        <f t="shared" si="0"/>
        <v>12.3825</v>
      </c>
      <c r="F32" s="166">
        <f t="shared" si="1"/>
        <v>20.270543105188775</v>
      </c>
      <c r="G32" s="166">
        <f t="shared" si="2"/>
        <v>0</v>
      </c>
      <c r="H32" s="166">
        <f t="shared" si="3"/>
        <v>20.270543105188775</v>
      </c>
      <c r="I32" s="164">
        <f t="shared" si="4"/>
        <v>62752.695</v>
      </c>
      <c r="J32" s="164">
        <f t="shared" si="5"/>
        <v>1272031.208964264</v>
      </c>
      <c r="K32" s="164">
        <f t="shared" si="6"/>
        <v>394838.48726250755</v>
      </c>
      <c r="L32" s="164">
        <v>0</v>
      </c>
      <c r="M32" s="164">
        <f t="shared" si="7"/>
        <v>1666869.6962267715</v>
      </c>
      <c r="N32" s="149">
        <v>0</v>
      </c>
      <c r="O32" s="149">
        <f t="shared" si="8"/>
        <v>1666869.6962267715</v>
      </c>
    </row>
    <row r="33" spans="1:15" ht="13.5" customHeight="1" x14ac:dyDescent="0.35">
      <c r="A33" s="170">
        <v>16001</v>
      </c>
      <c r="B33" s="170" t="s">
        <v>228</v>
      </c>
      <c r="C33" s="167">
        <v>897.02</v>
      </c>
      <c r="D33" s="169">
        <v>0.25</v>
      </c>
      <c r="E33" s="166">
        <f t="shared" si="0"/>
        <v>15</v>
      </c>
      <c r="F33" s="166">
        <f t="shared" si="1"/>
        <v>59.801333333333332</v>
      </c>
      <c r="G33" s="166">
        <f t="shared" si="2"/>
        <v>1.6666666666666666E-2</v>
      </c>
      <c r="H33" s="166">
        <f t="shared" si="3"/>
        <v>59.817999999999998</v>
      </c>
      <c r="I33" s="164">
        <f t="shared" si="4"/>
        <v>62752.695</v>
      </c>
      <c r="J33" s="164">
        <f t="shared" si="5"/>
        <v>3753740.70951</v>
      </c>
      <c r="K33" s="164">
        <f t="shared" si="6"/>
        <v>1165161.1162319041</v>
      </c>
      <c r="L33" s="164">
        <v>0</v>
      </c>
      <c r="M33" s="164">
        <f t="shared" si="7"/>
        <v>4918901.8257419039</v>
      </c>
      <c r="N33" s="149">
        <v>0</v>
      </c>
      <c r="O33" s="149">
        <f t="shared" si="8"/>
        <v>4918901.8257419039</v>
      </c>
    </row>
    <row r="34" spans="1:15" ht="13.5" customHeight="1" x14ac:dyDescent="0.35">
      <c r="A34" s="170">
        <v>61008</v>
      </c>
      <c r="B34" s="170" t="s">
        <v>229</v>
      </c>
      <c r="C34" s="167">
        <v>1300.47</v>
      </c>
      <c r="D34" s="169">
        <v>2</v>
      </c>
      <c r="E34" s="166">
        <f t="shared" si="0"/>
        <v>15</v>
      </c>
      <c r="F34" s="166">
        <f t="shared" si="1"/>
        <v>86.698000000000008</v>
      </c>
      <c r="G34" s="166">
        <f t="shared" si="2"/>
        <v>0.13333333333333333</v>
      </c>
      <c r="H34" s="166">
        <f t="shared" si="3"/>
        <v>86.831333333333347</v>
      </c>
      <c r="I34" s="164">
        <f t="shared" si="4"/>
        <v>62752.695</v>
      </c>
      <c r="J34" s="164">
        <f t="shared" si="5"/>
        <v>5448900.1771100005</v>
      </c>
      <c r="K34" s="164">
        <f t="shared" si="6"/>
        <v>1691338.6149749442</v>
      </c>
      <c r="L34" s="164">
        <v>0</v>
      </c>
      <c r="M34" s="164">
        <f t="shared" si="7"/>
        <v>7140238.7920849444</v>
      </c>
      <c r="N34" s="149">
        <v>0</v>
      </c>
      <c r="O34" s="149">
        <f t="shared" si="8"/>
        <v>7140238.7920849444</v>
      </c>
    </row>
    <row r="35" spans="1:15" ht="13.5" customHeight="1" x14ac:dyDescent="0.35">
      <c r="A35" s="170">
        <v>38002</v>
      </c>
      <c r="B35" s="170" t="s">
        <v>230</v>
      </c>
      <c r="C35" s="167">
        <v>302</v>
      </c>
      <c r="D35" s="169">
        <v>0</v>
      </c>
      <c r="E35" s="166">
        <f t="shared" ref="E35:E64" si="9">IF(C35&lt;200,12,IF(C35&gt;600,15,(C35*0.0075)+10.5))</f>
        <v>12.765000000000001</v>
      </c>
      <c r="F35" s="166">
        <f t="shared" ref="F35:F64" si="10">C35/E35</f>
        <v>23.658441049745395</v>
      </c>
      <c r="G35" s="166">
        <f t="shared" ref="G35:G64" si="11">D35/E35</f>
        <v>0</v>
      </c>
      <c r="H35" s="166">
        <f t="shared" ref="H35:H64" si="12">F35+G35</f>
        <v>23.658441049745395</v>
      </c>
      <c r="I35" s="164">
        <f t="shared" ref="I35:I64" si="13">$I$1*1.29</f>
        <v>62752.695</v>
      </c>
      <c r="J35" s="164">
        <f t="shared" ref="J35:J64" si="14">H35*I35</f>
        <v>1484630.9353701526</v>
      </c>
      <c r="K35" s="164">
        <f t="shared" ref="K35:K64" si="15">J35*0.3104</f>
        <v>460829.4423388954</v>
      </c>
      <c r="L35" s="164">
        <v>0</v>
      </c>
      <c r="M35" s="164">
        <f t="shared" ref="M35:M64" si="16">J35+K35+L35</f>
        <v>1945460.3777090479</v>
      </c>
      <c r="N35" s="149">
        <v>0</v>
      </c>
      <c r="O35" s="149">
        <f t="shared" ref="O35:O66" si="17">IF(N35&gt;0,N35,M35)</f>
        <v>1945460.3777090479</v>
      </c>
    </row>
    <row r="36" spans="1:15" ht="13.5" customHeight="1" x14ac:dyDescent="0.35">
      <c r="A36" s="170">
        <v>49003</v>
      </c>
      <c r="B36" s="170" t="s">
        <v>231</v>
      </c>
      <c r="C36" s="167">
        <v>938.13</v>
      </c>
      <c r="D36" s="169">
        <v>1.5</v>
      </c>
      <c r="E36" s="166">
        <f t="shared" si="9"/>
        <v>15</v>
      </c>
      <c r="F36" s="166">
        <f t="shared" si="10"/>
        <v>62.542000000000002</v>
      </c>
      <c r="G36" s="166">
        <f t="shared" si="11"/>
        <v>0.1</v>
      </c>
      <c r="H36" s="166">
        <f t="shared" si="12"/>
        <v>62.642000000000003</v>
      </c>
      <c r="I36" s="164">
        <f t="shared" si="13"/>
        <v>62752.695</v>
      </c>
      <c r="J36" s="164">
        <f t="shared" si="14"/>
        <v>3930954.3201900003</v>
      </c>
      <c r="K36" s="164">
        <f t="shared" si="15"/>
        <v>1220168.2209869761</v>
      </c>
      <c r="L36" s="164">
        <v>0</v>
      </c>
      <c r="M36" s="164">
        <f t="shared" si="16"/>
        <v>5151122.5411769766</v>
      </c>
      <c r="N36" s="149">
        <v>0</v>
      </c>
      <c r="O36" s="149">
        <f t="shared" si="17"/>
        <v>5151122.5411769766</v>
      </c>
    </row>
    <row r="37" spans="1:15" ht="13.5" customHeight="1" x14ac:dyDescent="0.35">
      <c r="A37" s="170">
        <v>5006</v>
      </c>
      <c r="B37" s="170" t="s">
        <v>375</v>
      </c>
      <c r="C37" s="167">
        <v>365</v>
      </c>
      <c r="D37" s="169">
        <v>4</v>
      </c>
      <c r="E37" s="166">
        <f t="shared" si="9"/>
        <v>13.237500000000001</v>
      </c>
      <c r="F37" s="166">
        <f t="shared" si="10"/>
        <v>27.57318224740321</v>
      </c>
      <c r="G37" s="166">
        <f t="shared" si="11"/>
        <v>0.30217186024551462</v>
      </c>
      <c r="H37" s="166">
        <f t="shared" si="12"/>
        <v>27.875354107648725</v>
      </c>
      <c r="I37" s="164">
        <f t="shared" si="13"/>
        <v>62752.695</v>
      </c>
      <c r="J37" s="164">
        <f t="shared" si="14"/>
        <v>1749253.5943342776</v>
      </c>
      <c r="K37" s="164">
        <f t="shared" si="15"/>
        <v>542968.31568135973</v>
      </c>
      <c r="L37" s="164">
        <v>0</v>
      </c>
      <c r="M37" s="164">
        <f t="shared" si="16"/>
        <v>2292221.9100156371</v>
      </c>
      <c r="N37" s="149">
        <v>0</v>
      </c>
      <c r="O37" s="149">
        <f t="shared" si="17"/>
        <v>2292221.9100156371</v>
      </c>
    </row>
    <row r="38" spans="1:15" ht="13.5" customHeight="1" x14ac:dyDescent="0.35">
      <c r="A38" s="170">
        <v>19004</v>
      </c>
      <c r="B38" s="170" t="s">
        <v>233</v>
      </c>
      <c r="C38" s="167">
        <v>490.25</v>
      </c>
      <c r="D38" s="169">
        <v>1.25</v>
      </c>
      <c r="E38" s="166">
        <f t="shared" si="9"/>
        <v>14.176874999999999</v>
      </c>
      <c r="F38" s="166">
        <f t="shared" si="10"/>
        <v>34.580963717321346</v>
      </c>
      <c r="G38" s="166">
        <f t="shared" si="11"/>
        <v>8.8171758585724999E-2</v>
      </c>
      <c r="H38" s="166">
        <f t="shared" si="12"/>
        <v>34.669135475907069</v>
      </c>
      <c r="I38" s="164">
        <f t="shared" si="13"/>
        <v>62752.695</v>
      </c>
      <c r="J38" s="164">
        <f t="shared" si="14"/>
        <v>2175581.6844332763</v>
      </c>
      <c r="K38" s="164">
        <f t="shared" si="15"/>
        <v>675300.554848089</v>
      </c>
      <c r="L38" s="164">
        <v>0</v>
      </c>
      <c r="M38" s="164">
        <f t="shared" si="16"/>
        <v>2850882.2392813652</v>
      </c>
      <c r="N38" s="149">
        <v>0</v>
      </c>
      <c r="O38" s="149">
        <f t="shared" si="17"/>
        <v>2850882.2392813652</v>
      </c>
    </row>
    <row r="39" spans="1:15" ht="13.5" customHeight="1" x14ac:dyDescent="0.35">
      <c r="A39" s="170">
        <v>56002</v>
      </c>
      <c r="B39" s="170" t="s">
        <v>234</v>
      </c>
      <c r="C39" s="167">
        <v>174</v>
      </c>
      <c r="D39" s="169">
        <v>5</v>
      </c>
      <c r="E39" s="166">
        <f t="shared" si="9"/>
        <v>12</v>
      </c>
      <c r="F39" s="166">
        <f t="shared" si="10"/>
        <v>14.5</v>
      </c>
      <c r="G39" s="166">
        <f t="shared" si="11"/>
        <v>0.41666666666666669</v>
      </c>
      <c r="H39" s="166">
        <f t="shared" si="12"/>
        <v>14.916666666666666</v>
      </c>
      <c r="I39" s="164">
        <f t="shared" si="13"/>
        <v>62752.695</v>
      </c>
      <c r="J39" s="164">
        <f t="shared" si="14"/>
        <v>936061.03374999994</v>
      </c>
      <c r="K39" s="164">
        <f t="shared" si="15"/>
        <v>290553.34487600002</v>
      </c>
      <c r="L39" s="164">
        <v>0</v>
      </c>
      <c r="M39" s="164">
        <f t="shared" si="16"/>
        <v>1226614.3786259999</v>
      </c>
      <c r="N39" s="149">
        <v>0</v>
      </c>
      <c r="O39" s="149">
        <f t="shared" si="17"/>
        <v>1226614.3786259999</v>
      </c>
    </row>
    <row r="40" spans="1:15" ht="13.5" customHeight="1" x14ac:dyDescent="0.35">
      <c r="A40" s="170">
        <v>51001</v>
      </c>
      <c r="B40" s="170" t="s">
        <v>235</v>
      </c>
      <c r="C40" s="167">
        <v>2924.58</v>
      </c>
      <c r="D40" s="169">
        <v>0.75</v>
      </c>
      <c r="E40" s="166">
        <f t="shared" si="9"/>
        <v>15</v>
      </c>
      <c r="F40" s="166">
        <f t="shared" si="10"/>
        <v>194.97200000000001</v>
      </c>
      <c r="G40" s="166">
        <f t="shared" si="11"/>
        <v>0.05</v>
      </c>
      <c r="H40" s="166">
        <f t="shared" si="12"/>
        <v>195.02200000000002</v>
      </c>
      <c r="I40" s="164">
        <f t="shared" si="13"/>
        <v>62752.695</v>
      </c>
      <c r="J40" s="164">
        <f t="shared" si="14"/>
        <v>12238156.084290002</v>
      </c>
      <c r="K40" s="164">
        <f t="shared" si="15"/>
        <v>3798723.6485636164</v>
      </c>
      <c r="L40" s="164">
        <v>0</v>
      </c>
      <c r="M40" s="164">
        <f t="shared" si="16"/>
        <v>16036879.732853618</v>
      </c>
      <c r="N40" s="149">
        <v>0</v>
      </c>
      <c r="O40" s="149">
        <f t="shared" si="17"/>
        <v>16036879.732853618</v>
      </c>
    </row>
    <row r="41" spans="1:15" ht="13.5" customHeight="1" x14ac:dyDescent="0.35">
      <c r="A41" s="170">
        <v>64002</v>
      </c>
      <c r="B41" s="170" t="s">
        <v>236</v>
      </c>
      <c r="C41" s="167">
        <v>374.95</v>
      </c>
      <c r="D41" s="169">
        <v>0.5</v>
      </c>
      <c r="E41" s="166">
        <f t="shared" si="9"/>
        <v>13.312125</v>
      </c>
      <c r="F41" s="166">
        <f t="shared" si="10"/>
        <v>28.166051625867393</v>
      </c>
      <c r="G41" s="166">
        <f t="shared" si="11"/>
        <v>3.7559743466952122E-2</v>
      </c>
      <c r="H41" s="166">
        <f t="shared" si="12"/>
        <v>28.203611369334347</v>
      </c>
      <c r="I41" s="164">
        <f t="shared" si="13"/>
        <v>62752.695</v>
      </c>
      <c r="J41" s="164">
        <f t="shared" si="14"/>
        <v>1769852.6221583707</v>
      </c>
      <c r="K41" s="164">
        <f t="shared" si="15"/>
        <v>549362.25391795824</v>
      </c>
      <c r="L41" s="164">
        <v>0</v>
      </c>
      <c r="M41" s="164">
        <f t="shared" si="16"/>
        <v>2319214.876076329</v>
      </c>
      <c r="N41" s="149">
        <v>0</v>
      </c>
      <c r="O41" s="149">
        <f t="shared" si="17"/>
        <v>2319214.876076329</v>
      </c>
    </row>
    <row r="42" spans="1:15" ht="13.5" customHeight="1" x14ac:dyDescent="0.35">
      <c r="A42" s="170">
        <v>20001</v>
      </c>
      <c r="B42" s="170" t="s">
        <v>237</v>
      </c>
      <c r="C42" s="167">
        <v>355.01</v>
      </c>
      <c r="D42" s="169">
        <v>0</v>
      </c>
      <c r="E42" s="166">
        <f t="shared" si="9"/>
        <v>13.162575</v>
      </c>
      <c r="F42" s="166">
        <f t="shared" si="10"/>
        <v>26.971166356127124</v>
      </c>
      <c r="G42" s="166">
        <f t="shared" si="11"/>
        <v>0</v>
      </c>
      <c r="H42" s="166">
        <f t="shared" si="12"/>
        <v>26.971166356127124</v>
      </c>
      <c r="I42" s="164">
        <f t="shared" si="13"/>
        <v>62752.695</v>
      </c>
      <c r="J42" s="164">
        <f t="shared" si="14"/>
        <v>1692513.3761403067</v>
      </c>
      <c r="K42" s="164">
        <f t="shared" si="15"/>
        <v>525356.15195395122</v>
      </c>
      <c r="L42" s="164">
        <v>0</v>
      </c>
      <c r="M42" s="164">
        <f t="shared" si="16"/>
        <v>2217869.5280942582</v>
      </c>
      <c r="N42" s="149">
        <v>0</v>
      </c>
      <c r="O42" s="149">
        <f t="shared" si="17"/>
        <v>2217869.5280942582</v>
      </c>
    </row>
    <row r="43" spans="1:15" ht="13.5" customHeight="1" x14ac:dyDescent="0.35">
      <c r="A43" s="170">
        <v>23001</v>
      </c>
      <c r="B43" s="170" t="s">
        <v>238</v>
      </c>
      <c r="C43" s="167">
        <v>153.29</v>
      </c>
      <c r="D43" s="169">
        <v>0</v>
      </c>
      <c r="E43" s="166">
        <f t="shared" si="9"/>
        <v>12</v>
      </c>
      <c r="F43" s="166">
        <f t="shared" si="10"/>
        <v>12.774166666666666</v>
      </c>
      <c r="G43" s="166">
        <f t="shared" si="11"/>
        <v>0</v>
      </c>
      <c r="H43" s="166">
        <f t="shared" si="12"/>
        <v>12.774166666666666</v>
      </c>
      <c r="I43" s="164">
        <f t="shared" si="13"/>
        <v>62752.695</v>
      </c>
      <c r="J43" s="164">
        <f t="shared" si="14"/>
        <v>801613.38471249992</v>
      </c>
      <c r="K43" s="164">
        <f t="shared" si="15"/>
        <v>248820.79461475997</v>
      </c>
      <c r="L43" s="164">
        <v>0</v>
      </c>
      <c r="M43" s="164">
        <f t="shared" si="16"/>
        <v>1050434.1793272598</v>
      </c>
      <c r="N43" s="149">
        <v>0</v>
      </c>
      <c r="O43" s="149">
        <f t="shared" si="17"/>
        <v>1050434.1793272598</v>
      </c>
    </row>
    <row r="44" spans="1:15" ht="13.5" customHeight="1" x14ac:dyDescent="0.35">
      <c r="A44" s="170">
        <v>22005</v>
      </c>
      <c r="B44" s="170" t="s">
        <v>239</v>
      </c>
      <c r="C44" s="167">
        <v>147</v>
      </c>
      <c r="D44" s="169">
        <v>0.75</v>
      </c>
      <c r="E44" s="166">
        <f t="shared" si="9"/>
        <v>12</v>
      </c>
      <c r="F44" s="166">
        <f t="shared" si="10"/>
        <v>12.25</v>
      </c>
      <c r="G44" s="166">
        <f t="shared" si="11"/>
        <v>6.25E-2</v>
      </c>
      <c r="H44" s="166">
        <f t="shared" si="12"/>
        <v>12.3125</v>
      </c>
      <c r="I44" s="164">
        <f t="shared" si="13"/>
        <v>62752.695</v>
      </c>
      <c r="J44" s="164">
        <f t="shared" si="14"/>
        <v>772642.55718749994</v>
      </c>
      <c r="K44" s="164">
        <f t="shared" si="15"/>
        <v>239828.249751</v>
      </c>
      <c r="L44" s="164">
        <v>0</v>
      </c>
      <c r="M44" s="164">
        <f t="shared" si="16"/>
        <v>1012470.8069384999</v>
      </c>
      <c r="N44" s="149">
        <v>0</v>
      </c>
      <c r="O44" s="149">
        <f t="shared" si="17"/>
        <v>1012470.8069384999</v>
      </c>
    </row>
    <row r="45" spans="1:15" ht="13.5" customHeight="1" x14ac:dyDescent="0.35">
      <c r="A45" s="170">
        <v>16002</v>
      </c>
      <c r="B45" s="170" t="s">
        <v>240</v>
      </c>
      <c r="C45" s="167">
        <v>10</v>
      </c>
      <c r="D45" s="169">
        <v>0</v>
      </c>
      <c r="E45" s="166">
        <f t="shared" si="9"/>
        <v>12</v>
      </c>
      <c r="F45" s="166">
        <f t="shared" si="10"/>
        <v>0.83333333333333337</v>
      </c>
      <c r="G45" s="166">
        <f t="shared" si="11"/>
        <v>0</v>
      </c>
      <c r="H45" s="166">
        <f t="shared" si="12"/>
        <v>0.83333333333333337</v>
      </c>
      <c r="I45" s="164">
        <f t="shared" si="13"/>
        <v>62752.695</v>
      </c>
      <c r="J45" s="164">
        <f t="shared" si="14"/>
        <v>52293.912499999999</v>
      </c>
      <c r="K45" s="164">
        <f t="shared" si="15"/>
        <v>16232.03044</v>
      </c>
      <c r="L45" s="164">
        <v>0</v>
      </c>
      <c r="M45" s="164">
        <f t="shared" si="16"/>
        <v>68525.942939999994</v>
      </c>
      <c r="N45" s="149">
        <v>0</v>
      </c>
      <c r="O45" s="149">
        <f t="shared" si="17"/>
        <v>68525.942939999994</v>
      </c>
    </row>
    <row r="46" spans="1:15" ht="13.5" customHeight="1" x14ac:dyDescent="0.35">
      <c r="A46" s="170">
        <v>61007</v>
      </c>
      <c r="B46" s="170" t="s">
        <v>241</v>
      </c>
      <c r="C46" s="167">
        <v>687</v>
      </c>
      <c r="D46" s="169">
        <v>0.75</v>
      </c>
      <c r="E46" s="166">
        <f t="shared" si="9"/>
        <v>15</v>
      </c>
      <c r="F46" s="166">
        <f t="shared" si="10"/>
        <v>45.8</v>
      </c>
      <c r="G46" s="166">
        <f t="shared" si="11"/>
        <v>0.05</v>
      </c>
      <c r="H46" s="166">
        <f t="shared" si="12"/>
        <v>45.849999999999994</v>
      </c>
      <c r="I46" s="164">
        <f t="shared" si="13"/>
        <v>62752.695</v>
      </c>
      <c r="J46" s="164">
        <f t="shared" si="14"/>
        <v>2877211.0657499996</v>
      </c>
      <c r="K46" s="164">
        <f t="shared" si="15"/>
        <v>893086.31480879989</v>
      </c>
      <c r="L46" s="164">
        <v>0</v>
      </c>
      <c r="M46" s="164">
        <f t="shared" si="16"/>
        <v>3770297.3805587995</v>
      </c>
      <c r="N46" s="149">
        <v>0</v>
      </c>
      <c r="O46" s="149">
        <f t="shared" si="17"/>
        <v>3770297.3805587995</v>
      </c>
    </row>
    <row r="47" spans="1:15" ht="13.5" customHeight="1" x14ac:dyDescent="0.35">
      <c r="A47" s="170">
        <v>5003</v>
      </c>
      <c r="B47" s="170" t="s">
        <v>242</v>
      </c>
      <c r="C47" s="167">
        <v>310</v>
      </c>
      <c r="D47" s="169">
        <v>8.75</v>
      </c>
      <c r="E47" s="166">
        <f t="shared" si="9"/>
        <v>12.824999999999999</v>
      </c>
      <c r="F47" s="166">
        <f t="shared" si="10"/>
        <v>24.171539961013647</v>
      </c>
      <c r="G47" s="166">
        <f t="shared" si="11"/>
        <v>0.68226120857699812</v>
      </c>
      <c r="H47" s="166">
        <f t="shared" si="12"/>
        <v>24.853801169590646</v>
      </c>
      <c r="I47" s="164">
        <f t="shared" si="13"/>
        <v>62752.695</v>
      </c>
      <c r="J47" s="164">
        <f t="shared" si="14"/>
        <v>1559643.0043859652</v>
      </c>
      <c r="K47" s="164">
        <f t="shared" si="15"/>
        <v>484113.1885614036</v>
      </c>
      <c r="L47" s="164">
        <v>0</v>
      </c>
      <c r="M47" s="164">
        <f t="shared" si="16"/>
        <v>2043756.1929473688</v>
      </c>
      <c r="N47" s="149">
        <v>0</v>
      </c>
      <c r="O47" s="149">
        <f t="shared" si="17"/>
        <v>2043756.1929473688</v>
      </c>
    </row>
    <row r="48" spans="1:15" ht="13.5" customHeight="1" x14ac:dyDescent="0.35">
      <c r="A48" s="170">
        <v>28002</v>
      </c>
      <c r="B48" s="170" t="s">
        <v>243</v>
      </c>
      <c r="C48" s="167">
        <v>271</v>
      </c>
      <c r="D48" s="169">
        <v>1.5</v>
      </c>
      <c r="E48" s="166">
        <f t="shared" si="9"/>
        <v>12.532499999999999</v>
      </c>
      <c r="F48" s="166">
        <f t="shared" si="10"/>
        <v>21.623778176740476</v>
      </c>
      <c r="G48" s="166">
        <f t="shared" si="11"/>
        <v>0.1196888090963495</v>
      </c>
      <c r="H48" s="166">
        <f t="shared" si="12"/>
        <v>21.743466985836825</v>
      </c>
      <c r="I48" s="164">
        <f t="shared" si="13"/>
        <v>62752.695</v>
      </c>
      <c r="J48" s="164">
        <f t="shared" si="14"/>
        <v>1364461.1520047877</v>
      </c>
      <c r="K48" s="164">
        <f t="shared" si="15"/>
        <v>423528.74158228614</v>
      </c>
      <c r="L48" s="164">
        <v>0</v>
      </c>
      <c r="M48" s="164">
        <f t="shared" si="16"/>
        <v>1787989.8935870738</v>
      </c>
      <c r="N48" s="149">
        <v>0</v>
      </c>
      <c r="O48" s="149">
        <f t="shared" si="17"/>
        <v>1787989.8935870738</v>
      </c>
    </row>
    <row r="49" spans="1:15" ht="13.5" customHeight="1" x14ac:dyDescent="0.35">
      <c r="A49" s="170">
        <v>17001</v>
      </c>
      <c r="B49" s="170" t="s">
        <v>244</v>
      </c>
      <c r="C49" s="167">
        <v>248</v>
      </c>
      <c r="D49" s="169">
        <v>0</v>
      </c>
      <c r="E49" s="166">
        <f t="shared" si="9"/>
        <v>12.36</v>
      </c>
      <c r="F49" s="166">
        <f t="shared" si="10"/>
        <v>20.064724919093852</v>
      </c>
      <c r="G49" s="166">
        <f t="shared" si="11"/>
        <v>0</v>
      </c>
      <c r="H49" s="166">
        <f t="shared" si="12"/>
        <v>20.064724919093852</v>
      </c>
      <c r="I49" s="164">
        <f t="shared" si="13"/>
        <v>62752.695</v>
      </c>
      <c r="J49" s="164">
        <f t="shared" si="14"/>
        <v>1259115.5631067962</v>
      </c>
      <c r="K49" s="164">
        <f t="shared" si="15"/>
        <v>390829.47078834957</v>
      </c>
      <c r="L49" s="164">
        <v>0</v>
      </c>
      <c r="M49" s="164">
        <f t="shared" si="16"/>
        <v>1649945.0338951459</v>
      </c>
      <c r="N49" s="149">
        <v>0</v>
      </c>
      <c r="O49" s="149">
        <f t="shared" si="17"/>
        <v>1649945.0338951459</v>
      </c>
    </row>
    <row r="50" spans="1:15" ht="13.5" customHeight="1" x14ac:dyDescent="0.35">
      <c r="A50" s="170">
        <v>44001</v>
      </c>
      <c r="B50" s="170" t="s">
        <v>245</v>
      </c>
      <c r="C50" s="167">
        <v>153</v>
      </c>
      <c r="D50" s="169">
        <v>0</v>
      </c>
      <c r="E50" s="166">
        <f t="shared" si="9"/>
        <v>12</v>
      </c>
      <c r="F50" s="166">
        <f t="shared" si="10"/>
        <v>12.75</v>
      </c>
      <c r="G50" s="166">
        <f t="shared" si="11"/>
        <v>0</v>
      </c>
      <c r="H50" s="166">
        <f t="shared" si="12"/>
        <v>12.75</v>
      </c>
      <c r="I50" s="164">
        <f t="shared" si="13"/>
        <v>62752.695</v>
      </c>
      <c r="J50" s="164">
        <f t="shared" si="14"/>
        <v>800096.86124999996</v>
      </c>
      <c r="K50" s="164">
        <f t="shared" si="15"/>
        <v>248350.06573199999</v>
      </c>
      <c r="L50" s="164">
        <v>0</v>
      </c>
      <c r="M50" s="164">
        <f t="shared" si="16"/>
        <v>1048446.926982</v>
      </c>
      <c r="N50" s="149">
        <v>0</v>
      </c>
      <c r="O50" s="149">
        <f t="shared" si="17"/>
        <v>1048446.926982</v>
      </c>
    </row>
    <row r="51" spans="1:15" ht="13.5" customHeight="1" x14ac:dyDescent="0.35">
      <c r="A51" s="170">
        <v>46002</v>
      </c>
      <c r="B51" s="170" t="s">
        <v>246</v>
      </c>
      <c r="C51" s="167">
        <v>164</v>
      </c>
      <c r="D51" s="169">
        <v>0</v>
      </c>
      <c r="E51" s="166">
        <f t="shared" si="9"/>
        <v>12</v>
      </c>
      <c r="F51" s="166">
        <f t="shared" si="10"/>
        <v>13.666666666666666</v>
      </c>
      <c r="G51" s="166">
        <f t="shared" si="11"/>
        <v>0</v>
      </c>
      <c r="H51" s="166">
        <f t="shared" si="12"/>
        <v>13.666666666666666</v>
      </c>
      <c r="I51" s="164">
        <f t="shared" si="13"/>
        <v>62752.695</v>
      </c>
      <c r="J51" s="164">
        <f t="shared" si="14"/>
        <v>857620.16499999992</v>
      </c>
      <c r="K51" s="164">
        <f t="shared" si="15"/>
        <v>266205.29921599996</v>
      </c>
      <c r="L51" s="164">
        <v>0</v>
      </c>
      <c r="M51" s="164">
        <f t="shared" si="16"/>
        <v>1123825.4642159999</v>
      </c>
      <c r="N51" s="149">
        <v>0</v>
      </c>
      <c r="O51" s="149">
        <f t="shared" si="17"/>
        <v>1123825.4642159999</v>
      </c>
    </row>
    <row r="52" spans="1:15" ht="13.5" customHeight="1" x14ac:dyDescent="0.35">
      <c r="A52" s="170">
        <v>24004</v>
      </c>
      <c r="B52" s="170" t="s">
        <v>374</v>
      </c>
      <c r="C52" s="167">
        <v>306</v>
      </c>
      <c r="D52" s="169">
        <v>4.25</v>
      </c>
      <c r="E52" s="166">
        <f t="shared" si="9"/>
        <v>12.795</v>
      </c>
      <c r="F52" s="166">
        <f t="shared" si="10"/>
        <v>23.91559202813599</v>
      </c>
      <c r="G52" s="166">
        <f t="shared" si="11"/>
        <v>0.33216100039077767</v>
      </c>
      <c r="H52" s="166">
        <f t="shared" si="12"/>
        <v>24.247753028526766</v>
      </c>
      <c r="I52" s="164">
        <f t="shared" si="13"/>
        <v>62752.695</v>
      </c>
      <c r="J52" s="164">
        <f t="shared" si="14"/>
        <v>1521611.8502344664</v>
      </c>
      <c r="K52" s="164">
        <f t="shared" si="15"/>
        <v>472308.31831277837</v>
      </c>
      <c r="L52" s="164">
        <v>0</v>
      </c>
      <c r="M52" s="164">
        <f t="shared" si="16"/>
        <v>1993920.1685472447</v>
      </c>
      <c r="N52" s="149">
        <v>0</v>
      </c>
      <c r="O52" s="149">
        <f t="shared" si="17"/>
        <v>1993920.1685472447</v>
      </c>
    </row>
    <row r="53" spans="1:15" ht="13.5" customHeight="1" x14ac:dyDescent="0.35">
      <c r="A53" s="170">
        <v>50003</v>
      </c>
      <c r="B53" s="170" t="s">
        <v>248</v>
      </c>
      <c r="C53" s="167">
        <v>683.84</v>
      </c>
      <c r="D53" s="169">
        <v>7.75</v>
      </c>
      <c r="E53" s="166">
        <f t="shared" si="9"/>
        <v>15</v>
      </c>
      <c r="F53" s="166">
        <f t="shared" si="10"/>
        <v>45.589333333333336</v>
      </c>
      <c r="G53" s="166">
        <f t="shared" si="11"/>
        <v>0.51666666666666672</v>
      </c>
      <c r="H53" s="166">
        <f t="shared" si="12"/>
        <v>46.106000000000002</v>
      </c>
      <c r="I53" s="164">
        <f t="shared" si="13"/>
        <v>62752.695</v>
      </c>
      <c r="J53" s="164">
        <f t="shared" si="14"/>
        <v>2893275.7556699999</v>
      </c>
      <c r="K53" s="164">
        <f t="shared" si="15"/>
        <v>898072.79455996794</v>
      </c>
      <c r="L53" s="164">
        <v>0</v>
      </c>
      <c r="M53" s="164">
        <f t="shared" si="16"/>
        <v>3791348.5502299676</v>
      </c>
      <c r="N53" s="149">
        <v>0</v>
      </c>
      <c r="O53" s="149">
        <f t="shared" si="17"/>
        <v>3791348.5502299676</v>
      </c>
    </row>
    <row r="54" spans="1:15" ht="13.5" customHeight="1" x14ac:dyDescent="0.35">
      <c r="A54" s="170">
        <v>14001</v>
      </c>
      <c r="B54" s="170" t="s">
        <v>249</v>
      </c>
      <c r="C54" s="167">
        <v>256</v>
      </c>
      <c r="D54" s="169">
        <v>0</v>
      </c>
      <c r="E54" s="166">
        <f t="shared" si="9"/>
        <v>12.42</v>
      </c>
      <c r="F54" s="166">
        <f t="shared" si="10"/>
        <v>20.611916264090176</v>
      </c>
      <c r="G54" s="166">
        <f t="shared" si="11"/>
        <v>0</v>
      </c>
      <c r="H54" s="166">
        <f t="shared" si="12"/>
        <v>20.611916264090176</v>
      </c>
      <c r="I54" s="164">
        <f t="shared" si="13"/>
        <v>62752.695</v>
      </c>
      <c r="J54" s="164">
        <f t="shared" si="14"/>
        <v>1293453.2946859903</v>
      </c>
      <c r="K54" s="164">
        <f t="shared" si="15"/>
        <v>401487.90267053142</v>
      </c>
      <c r="L54" s="164">
        <v>0</v>
      </c>
      <c r="M54" s="164">
        <f t="shared" si="16"/>
        <v>1694941.1973565216</v>
      </c>
      <c r="N54" s="149">
        <v>0</v>
      </c>
      <c r="O54" s="149">
        <f t="shared" si="17"/>
        <v>1694941.1973565216</v>
      </c>
    </row>
    <row r="55" spans="1:15" ht="13.5" customHeight="1" x14ac:dyDescent="0.35">
      <c r="A55" s="170">
        <v>6002</v>
      </c>
      <c r="B55" s="170" t="s">
        <v>250</v>
      </c>
      <c r="C55" s="167">
        <v>160.6</v>
      </c>
      <c r="D55" s="169">
        <v>0</v>
      </c>
      <c r="E55" s="166">
        <f t="shared" si="9"/>
        <v>12</v>
      </c>
      <c r="F55" s="166">
        <f t="shared" si="10"/>
        <v>13.383333333333333</v>
      </c>
      <c r="G55" s="166">
        <f t="shared" si="11"/>
        <v>0</v>
      </c>
      <c r="H55" s="166">
        <f t="shared" si="12"/>
        <v>13.383333333333333</v>
      </c>
      <c r="I55" s="164">
        <f t="shared" si="13"/>
        <v>62752.695</v>
      </c>
      <c r="J55" s="164">
        <f t="shared" si="14"/>
        <v>839840.23474999995</v>
      </c>
      <c r="K55" s="164">
        <f t="shared" si="15"/>
        <v>260686.40886639999</v>
      </c>
      <c r="L55" s="164">
        <v>0</v>
      </c>
      <c r="M55" s="164">
        <f t="shared" si="16"/>
        <v>1100526.6436164</v>
      </c>
      <c r="N55" s="149">
        <v>0</v>
      </c>
      <c r="O55" s="149">
        <f t="shared" si="17"/>
        <v>1100526.6436164</v>
      </c>
    </row>
    <row r="56" spans="1:15" ht="13.5" customHeight="1" x14ac:dyDescent="0.35">
      <c r="A56" s="170">
        <v>33001</v>
      </c>
      <c r="B56" s="170" t="s">
        <v>251</v>
      </c>
      <c r="C56" s="167">
        <v>318.02</v>
      </c>
      <c r="D56" s="169">
        <v>6.5</v>
      </c>
      <c r="E56" s="166">
        <f t="shared" si="9"/>
        <v>12.885149999999999</v>
      </c>
      <c r="F56" s="166">
        <f t="shared" si="10"/>
        <v>24.681125171224238</v>
      </c>
      <c r="G56" s="166">
        <f t="shared" si="11"/>
        <v>0.50445668075264938</v>
      </c>
      <c r="H56" s="166">
        <f t="shared" si="12"/>
        <v>25.185581851976888</v>
      </c>
      <c r="I56" s="164">
        <f t="shared" si="13"/>
        <v>62752.695</v>
      </c>
      <c r="J56" s="164">
        <f t="shared" si="14"/>
        <v>1580463.1363546408</v>
      </c>
      <c r="K56" s="164">
        <f t="shared" si="15"/>
        <v>490575.75752448052</v>
      </c>
      <c r="L56" s="164">
        <v>0</v>
      </c>
      <c r="M56" s="164">
        <f t="shared" si="16"/>
        <v>2071038.8938791214</v>
      </c>
      <c r="N56" s="149">
        <v>0</v>
      </c>
      <c r="O56" s="149">
        <f t="shared" si="17"/>
        <v>2071038.8938791214</v>
      </c>
    </row>
    <row r="57" spans="1:15" ht="13.5" customHeight="1" x14ac:dyDescent="0.35">
      <c r="A57" s="170">
        <v>49004</v>
      </c>
      <c r="B57" s="170" t="s">
        <v>252</v>
      </c>
      <c r="C57" s="167">
        <v>477</v>
      </c>
      <c r="D57" s="169">
        <v>0.25</v>
      </c>
      <c r="E57" s="166">
        <f t="shared" si="9"/>
        <v>14.077500000000001</v>
      </c>
      <c r="F57" s="166">
        <f t="shared" si="10"/>
        <v>33.883857218966433</v>
      </c>
      <c r="G57" s="166">
        <f t="shared" si="11"/>
        <v>1.7758835020422661E-2</v>
      </c>
      <c r="H57" s="166">
        <f t="shared" si="12"/>
        <v>33.901616053986857</v>
      </c>
      <c r="I57" s="164">
        <f t="shared" si="13"/>
        <v>62752.695</v>
      </c>
      <c r="J57" s="164">
        <f t="shared" si="14"/>
        <v>2127417.772242941</v>
      </c>
      <c r="K57" s="164">
        <f t="shared" si="15"/>
        <v>660350.47650420887</v>
      </c>
      <c r="L57" s="164">
        <v>0</v>
      </c>
      <c r="M57" s="164">
        <f t="shared" si="16"/>
        <v>2787768.2487471499</v>
      </c>
      <c r="N57" s="149">
        <v>0</v>
      </c>
      <c r="O57" s="149">
        <f t="shared" si="17"/>
        <v>2787768.2487471499</v>
      </c>
    </row>
    <row r="58" spans="1:15" ht="13.5" customHeight="1" x14ac:dyDescent="0.35">
      <c r="A58" s="170">
        <v>63001</v>
      </c>
      <c r="B58" s="170" t="s">
        <v>253</v>
      </c>
      <c r="C58" s="167">
        <v>279</v>
      </c>
      <c r="D58" s="169">
        <v>0</v>
      </c>
      <c r="E58" s="166">
        <f t="shared" si="9"/>
        <v>12.592499999999999</v>
      </c>
      <c r="F58" s="166">
        <f t="shared" si="10"/>
        <v>22.156045265038713</v>
      </c>
      <c r="G58" s="166">
        <f t="shared" si="11"/>
        <v>0</v>
      </c>
      <c r="H58" s="166">
        <f t="shared" si="12"/>
        <v>22.156045265038713</v>
      </c>
      <c r="I58" s="164">
        <f t="shared" si="13"/>
        <v>62752.695</v>
      </c>
      <c r="J58" s="164">
        <f t="shared" si="14"/>
        <v>1390351.5509231684</v>
      </c>
      <c r="K58" s="164">
        <f t="shared" si="15"/>
        <v>431565.12140655151</v>
      </c>
      <c r="L58" s="164">
        <v>0</v>
      </c>
      <c r="M58" s="164">
        <f t="shared" si="16"/>
        <v>1821916.6723297199</v>
      </c>
      <c r="N58" s="149">
        <v>0</v>
      </c>
      <c r="O58" s="149">
        <f t="shared" si="17"/>
        <v>1821916.6723297199</v>
      </c>
    </row>
    <row r="59" spans="1:15" ht="13.5" customHeight="1" x14ac:dyDescent="0.35">
      <c r="A59" s="170">
        <v>53001</v>
      </c>
      <c r="B59" s="170" t="s">
        <v>254</v>
      </c>
      <c r="C59" s="167">
        <v>243.04</v>
      </c>
      <c r="D59" s="169">
        <v>0.25</v>
      </c>
      <c r="E59" s="166">
        <f t="shared" si="9"/>
        <v>12.322800000000001</v>
      </c>
      <c r="F59" s="166">
        <f t="shared" si="10"/>
        <v>19.722790274937513</v>
      </c>
      <c r="G59" s="166">
        <f t="shared" si="11"/>
        <v>2.0287596974713537E-2</v>
      </c>
      <c r="H59" s="166">
        <f t="shared" si="12"/>
        <v>19.743077871912227</v>
      </c>
      <c r="I59" s="164">
        <f t="shared" si="13"/>
        <v>62752.695</v>
      </c>
      <c r="J59" s="164">
        <f t="shared" si="14"/>
        <v>1238931.3440573572</v>
      </c>
      <c r="K59" s="164">
        <f t="shared" si="15"/>
        <v>384564.28919540369</v>
      </c>
      <c r="L59" s="164">
        <v>0</v>
      </c>
      <c r="M59" s="164">
        <f t="shared" si="16"/>
        <v>1623495.6332527609</v>
      </c>
      <c r="N59" s="149">
        <v>0</v>
      </c>
      <c r="O59" s="149">
        <f t="shared" si="17"/>
        <v>1623495.6332527609</v>
      </c>
    </row>
    <row r="60" spans="1:15" ht="13.5" customHeight="1" x14ac:dyDescent="0.35">
      <c r="A60" s="170">
        <v>26004</v>
      </c>
      <c r="B60" s="170" t="s">
        <v>255</v>
      </c>
      <c r="C60" s="167">
        <v>371</v>
      </c>
      <c r="D60" s="169">
        <v>0</v>
      </c>
      <c r="E60" s="166">
        <f t="shared" si="9"/>
        <v>13.282499999999999</v>
      </c>
      <c r="F60" s="166">
        <f t="shared" si="10"/>
        <v>27.931488801054019</v>
      </c>
      <c r="G60" s="166">
        <f t="shared" si="11"/>
        <v>0</v>
      </c>
      <c r="H60" s="166">
        <f t="shared" si="12"/>
        <v>27.931488801054019</v>
      </c>
      <c r="I60" s="164">
        <f t="shared" si="13"/>
        <v>62752.695</v>
      </c>
      <c r="J60" s="164">
        <f t="shared" si="14"/>
        <v>1752776.1976284585</v>
      </c>
      <c r="K60" s="164">
        <f t="shared" si="15"/>
        <v>544061.73174387356</v>
      </c>
      <c r="L60" s="164">
        <v>0</v>
      </c>
      <c r="M60" s="164">
        <f t="shared" si="16"/>
        <v>2296837.9293723321</v>
      </c>
      <c r="N60" s="149">
        <v>0</v>
      </c>
      <c r="O60" s="149">
        <f t="shared" si="17"/>
        <v>2296837.9293723321</v>
      </c>
    </row>
    <row r="61" spans="1:15" ht="13.5" customHeight="1" x14ac:dyDescent="0.35">
      <c r="A61" s="170">
        <v>6006</v>
      </c>
      <c r="B61" s="170" t="s">
        <v>256</v>
      </c>
      <c r="C61" s="167">
        <v>568</v>
      </c>
      <c r="D61" s="169">
        <v>1</v>
      </c>
      <c r="E61" s="166">
        <f t="shared" si="9"/>
        <v>14.76</v>
      </c>
      <c r="F61" s="166">
        <f t="shared" si="10"/>
        <v>38.482384823848236</v>
      </c>
      <c r="G61" s="166">
        <f t="shared" si="11"/>
        <v>6.7750677506775075E-2</v>
      </c>
      <c r="H61" s="166">
        <f t="shared" si="12"/>
        <v>38.550135501355008</v>
      </c>
      <c r="I61" s="164">
        <f t="shared" si="13"/>
        <v>62752.695</v>
      </c>
      <c r="J61" s="164">
        <f t="shared" si="14"/>
        <v>2419124.895325203</v>
      </c>
      <c r="K61" s="164">
        <f t="shared" si="15"/>
        <v>750896.36750894308</v>
      </c>
      <c r="L61" s="164">
        <v>0</v>
      </c>
      <c r="M61" s="164">
        <f t="shared" si="16"/>
        <v>3170021.2628341462</v>
      </c>
      <c r="N61" s="149">
        <v>0</v>
      </c>
      <c r="O61" s="149">
        <f t="shared" si="17"/>
        <v>3170021.2628341462</v>
      </c>
    </row>
    <row r="62" spans="1:15" ht="13.5" customHeight="1" x14ac:dyDescent="0.35">
      <c r="A62" s="170">
        <v>27001</v>
      </c>
      <c r="B62" s="170" t="s">
        <v>257</v>
      </c>
      <c r="C62" s="167">
        <v>302</v>
      </c>
      <c r="D62" s="169">
        <v>0</v>
      </c>
      <c r="E62" s="166">
        <f t="shared" si="9"/>
        <v>12.765000000000001</v>
      </c>
      <c r="F62" s="166">
        <f t="shared" si="10"/>
        <v>23.658441049745395</v>
      </c>
      <c r="G62" s="166">
        <f t="shared" si="11"/>
        <v>0</v>
      </c>
      <c r="H62" s="166">
        <f t="shared" si="12"/>
        <v>23.658441049745395</v>
      </c>
      <c r="I62" s="164">
        <f t="shared" si="13"/>
        <v>62752.695</v>
      </c>
      <c r="J62" s="164">
        <f t="shared" si="14"/>
        <v>1484630.9353701526</v>
      </c>
      <c r="K62" s="164">
        <f t="shared" si="15"/>
        <v>460829.4423388954</v>
      </c>
      <c r="L62" s="164">
        <v>0</v>
      </c>
      <c r="M62" s="164">
        <f t="shared" si="16"/>
        <v>1945460.3777090479</v>
      </c>
      <c r="N62" s="149">
        <v>0</v>
      </c>
      <c r="O62" s="149">
        <f t="shared" si="17"/>
        <v>1945460.3777090479</v>
      </c>
    </row>
    <row r="63" spans="1:15" ht="13.5" customHeight="1" x14ac:dyDescent="0.35">
      <c r="A63" s="170">
        <v>28003</v>
      </c>
      <c r="B63" s="170" t="s">
        <v>258</v>
      </c>
      <c r="C63" s="167">
        <v>783</v>
      </c>
      <c r="D63" s="169">
        <v>1.25</v>
      </c>
      <c r="E63" s="166">
        <f t="shared" si="9"/>
        <v>15</v>
      </c>
      <c r="F63" s="166">
        <f t="shared" si="10"/>
        <v>52.2</v>
      </c>
      <c r="G63" s="166">
        <f t="shared" si="11"/>
        <v>8.3333333333333329E-2</v>
      </c>
      <c r="H63" s="166">
        <f t="shared" si="12"/>
        <v>52.283333333333339</v>
      </c>
      <c r="I63" s="164">
        <f t="shared" si="13"/>
        <v>62752.695</v>
      </c>
      <c r="J63" s="164">
        <f t="shared" si="14"/>
        <v>3280920.0702500003</v>
      </c>
      <c r="K63" s="164">
        <f t="shared" si="15"/>
        <v>1018397.5898056001</v>
      </c>
      <c r="L63" s="164">
        <v>0</v>
      </c>
      <c r="M63" s="164">
        <f t="shared" si="16"/>
        <v>4299317.6600556001</v>
      </c>
      <c r="N63" s="149">
        <v>0</v>
      </c>
      <c r="O63" s="149">
        <f t="shared" si="17"/>
        <v>4299317.6600556001</v>
      </c>
    </row>
    <row r="64" spans="1:15" ht="13.5" customHeight="1" x14ac:dyDescent="0.35">
      <c r="A64" s="170">
        <v>30001</v>
      </c>
      <c r="B64" s="170" t="s">
        <v>259</v>
      </c>
      <c r="C64" s="167">
        <v>409</v>
      </c>
      <c r="D64" s="169">
        <v>4.25</v>
      </c>
      <c r="E64" s="166">
        <f t="shared" si="9"/>
        <v>13.567499999999999</v>
      </c>
      <c r="F64" s="166">
        <f t="shared" si="10"/>
        <v>30.145568454026169</v>
      </c>
      <c r="G64" s="166">
        <f t="shared" si="11"/>
        <v>0.31324857195503963</v>
      </c>
      <c r="H64" s="166">
        <f t="shared" si="12"/>
        <v>30.458817025981208</v>
      </c>
      <c r="I64" s="164">
        <f t="shared" si="13"/>
        <v>62752.695</v>
      </c>
      <c r="J64" s="164">
        <f t="shared" si="14"/>
        <v>1911372.8548922059</v>
      </c>
      <c r="K64" s="164">
        <f t="shared" si="15"/>
        <v>593290.13415854075</v>
      </c>
      <c r="L64" s="164">
        <v>0</v>
      </c>
      <c r="M64" s="164">
        <f t="shared" si="16"/>
        <v>2504662.9890507469</v>
      </c>
      <c r="N64" s="149">
        <v>0</v>
      </c>
      <c r="O64" s="149">
        <f t="shared" si="17"/>
        <v>2504662.9890507469</v>
      </c>
    </row>
    <row r="65" spans="1:15" ht="13.5" customHeight="1" x14ac:dyDescent="0.35">
      <c r="A65" s="170">
        <v>31001</v>
      </c>
      <c r="B65" s="170" t="s">
        <v>260</v>
      </c>
      <c r="C65" s="167">
        <v>195.25</v>
      </c>
      <c r="D65" s="216" t="s">
        <v>422</v>
      </c>
      <c r="E65" s="217"/>
      <c r="F65" s="217"/>
      <c r="G65" s="217"/>
      <c r="H65" s="217"/>
      <c r="I65" s="217"/>
      <c r="J65" s="217"/>
      <c r="K65" s="217"/>
      <c r="L65" s="217"/>
      <c r="M65" s="218"/>
      <c r="N65" s="149">
        <v>1576132.4312097812</v>
      </c>
      <c r="O65" s="149">
        <f t="shared" si="17"/>
        <v>1576132.4312097812</v>
      </c>
    </row>
    <row r="66" spans="1:15" ht="13.5" customHeight="1" x14ac:dyDescent="0.35">
      <c r="A66" s="170">
        <v>41002</v>
      </c>
      <c r="B66" s="170" t="s">
        <v>261</v>
      </c>
      <c r="C66" s="167">
        <v>4542.16</v>
      </c>
      <c r="D66" s="169">
        <v>14</v>
      </c>
      <c r="E66" s="166">
        <f t="shared" ref="E66:E72" si="18">IF(C66&lt;200,12,IF(C66&gt;600,15,(C66*0.0075)+10.5))</f>
        <v>15</v>
      </c>
      <c r="F66" s="166">
        <f t="shared" ref="F66:F72" si="19">C66/E66</f>
        <v>302.81066666666663</v>
      </c>
      <c r="G66" s="166">
        <f t="shared" ref="G66:G72" si="20">D66/E66</f>
        <v>0.93333333333333335</v>
      </c>
      <c r="H66" s="166">
        <f t="shared" ref="H66:H72" si="21">F66+G66</f>
        <v>303.74399999999997</v>
      </c>
      <c r="I66" s="164">
        <f t="shared" ref="I66:I72" si="22">$I$1*1.29</f>
        <v>62752.695</v>
      </c>
      <c r="J66" s="164">
        <f t="shared" ref="J66:J72" si="23">H66*I66</f>
        <v>19060754.590079997</v>
      </c>
      <c r="K66" s="164">
        <f t="shared" ref="K66:K72" si="24">J66*0.3104</f>
        <v>5916458.2247608313</v>
      </c>
      <c r="L66" s="164">
        <v>0</v>
      </c>
      <c r="M66" s="164">
        <f t="shared" ref="M66:M72" si="25">J66+K66+L66</f>
        <v>24977212.814840827</v>
      </c>
      <c r="N66" s="149">
        <v>0</v>
      </c>
      <c r="O66" s="149">
        <f t="shared" si="17"/>
        <v>24977212.814840827</v>
      </c>
    </row>
    <row r="67" spans="1:15" ht="13.5" customHeight="1" x14ac:dyDescent="0.35">
      <c r="A67" s="170">
        <v>14002</v>
      </c>
      <c r="B67" s="170" t="s">
        <v>262</v>
      </c>
      <c r="C67" s="167">
        <v>165</v>
      </c>
      <c r="D67" s="169">
        <v>0</v>
      </c>
      <c r="E67" s="166">
        <f t="shared" si="18"/>
        <v>12</v>
      </c>
      <c r="F67" s="166">
        <f t="shared" si="19"/>
        <v>13.75</v>
      </c>
      <c r="G67" s="166">
        <f t="shared" si="20"/>
        <v>0</v>
      </c>
      <c r="H67" s="166">
        <f t="shared" si="21"/>
        <v>13.75</v>
      </c>
      <c r="I67" s="164">
        <f t="shared" si="22"/>
        <v>62752.695</v>
      </c>
      <c r="J67" s="164">
        <f t="shared" si="23"/>
        <v>862849.55625000002</v>
      </c>
      <c r="K67" s="164">
        <f t="shared" si="24"/>
        <v>267828.50226000004</v>
      </c>
      <c r="L67" s="164">
        <v>0</v>
      </c>
      <c r="M67" s="164">
        <f t="shared" si="25"/>
        <v>1130678.0585100001</v>
      </c>
      <c r="N67" s="149">
        <v>0</v>
      </c>
      <c r="O67" s="149">
        <f t="shared" ref="O67:O98" si="26">IF(N67&gt;0,N67,M67)</f>
        <v>1130678.0585100001</v>
      </c>
    </row>
    <row r="68" spans="1:15" ht="13.5" customHeight="1" x14ac:dyDescent="0.35">
      <c r="A68" s="170">
        <v>10001</v>
      </c>
      <c r="B68" s="170" t="s">
        <v>263</v>
      </c>
      <c r="C68" s="167">
        <v>109</v>
      </c>
      <c r="D68" s="169">
        <v>0</v>
      </c>
      <c r="E68" s="166">
        <f t="shared" si="18"/>
        <v>12</v>
      </c>
      <c r="F68" s="166">
        <f t="shared" si="19"/>
        <v>9.0833333333333339</v>
      </c>
      <c r="G68" s="166">
        <f t="shared" si="20"/>
        <v>0</v>
      </c>
      <c r="H68" s="166">
        <f t="shared" si="21"/>
        <v>9.0833333333333339</v>
      </c>
      <c r="I68" s="164">
        <f t="shared" si="22"/>
        <v>62752.695</v>
      </c>
      <c r="J68" s="164">
        <f t="shared" si="23"/>
        <v>570003.64624999999</v>
      </c>
      <c r="K68" s="164">
        <f t="shared" si="24"/>
        <v>176929.131796</v>
      </c>
      <c r="L68" s="164">
        <v>0</v>
      </c>
      <c r="M68" s="164">
        <f t="shared" si="25"/>
        <v>746932.77804600005</v>
      </c>
      <c r="N68" s="149">
        <v>0</v>
      </c>
      <c r="O68" s="149">
        <f t="shared" si="26"/>
        <v>746932.77804600005</v>
      </c>
    </row>
    <row r="69" spans="1:15" ht="13.5" customHeight="1" x14ac:dyDescent="0.35">
      <c r="A69" s="170">
        <v>34002</v>
      </c>
      <c r="B69" s="170" t="s">
        <v>264</v>
      </c>
      <c r="C69" s="167">
        <v>238</v>
      </c>
      <c r="D69" s="169">
        <v>0</v>
      </c>
      <c r="E69" s="166">
        <f t="shared" si="18"/>
        <v>12.285</v>
      </c>
      <c r="F69" s="166">
        <f t="shared" si="19"/>
        <v>19.373219373219374</v>
      </c>
      <c r="G69" s="166">
        <f t="shared" si="20"/>
        <v>0</v>
      </c>
      <c r="H69" s="166">
        <f t="shared" si="21"/>
        <v>19.373219373219374</v>
      </c>
      <c r="I69" s="164">
        <f t="shared" si="22"/>
        <v>62752.695</v>
      </c>
      <c r="J69" s="164">
        <f t="shared" si="23"/>
        <v>1215721.7264957265</v>
      </c>
      <c r="K69" s="164">
        <f t="shared" si="24"/>
        <v>377360.02390427352</v>
      </c>
      <c r="L69" s="164">
        <v>0</v>
      </c>
      <c r="M69" s="164">
        <f t="shared" si="25"/>
        <v>1593081.7504</v>
      </c>
      <c r="N69" s="149">
        <v>0</v>
      </c>
      <c r="O69" s="149">
        <f t="shared" si="26"/>
        <v>1593081.7504</v>
      </c>
    </row>
    <row r="70" spans="1:15" ht="13.5" customHeight="1" x14ac:dyDescent="0.35">
      <c r="A70" s="170">
        <v>51002</v>
      </c>
      <c r="B70" s="170" t="s">
        <v>265</v>
      </c>
      <c r="C70" s="167">
        <v>456.6</v>
      </c>
      <c r="D70" s="175">
        <v>3.75</v>
      </c>
      <c r="E70" s="174">
        <f t="shared" si="18"/>
        <v>13.9245</v>
      </c>
      <c r="F70" s="174">
        <f t="shared" si="19"/>
        <v>32.791123559194226</v>
      </c>
      <c r="G70" s="174">
        <f t="shared" si="20"/>
        <v>0.26930949046644403</v>
      </c>
      <c r="H70" s="174">
        <f t="shared" si="21"/>
        <v>33.060433049660666</v>
      </c>
      <c r="I70" s="173">
        <f t="shared" si="22"/>
        <v>62752.695</v>
      </c>
      <c r="J70" s="173">
        <f t="shared" si="23"/>
        <v>2074631.2717332756</v>
      </c>
      <c r="K70" s="173">
        <f t="shared" si="24"/>
        <v>643965.5467460088</v>
      </c>
      <c r="L70" s="173">
        <v>0</v>
      </c>
      <c r="M70" s="172">
        <f t="shared" si="25"/>
        <v>2718596.8184792846</v>
      </c>
      <c r="N70" s="149">
        <v>0</v>
      </c>
      <c r="O70" s="149">
        <f t="shared" si="26"/>
        <v>2718596.8184792846</v>
      </c>
    </row>
    <row r="71" spans="1:15" ht="13.5" customHeight="1" x14ac:dyDescent="0.35">
      <c r="A71" s="170">
        <v>56006</v>
      </c>
      <c r="B71" s="170" t="s">
        <v>266</v>
      </c>
      <c r="C71" s="167">
        <v>232</v>
      </c>
      <c r="D71" s="169">
        <v>5.25</v>
      </c>
      <c r="E71" s="166">
        <f t="shared" si="18"/>
        <v>12.24</v>
      </c>
      <c r="F71" s="166">
        <f t="shared" si="19"/>
        <v>18.954248366013072</v>
      </c>
      <c r="G71" s="166">
        <f t="shared" si="20"/>
        <v>0.42892156862745096</v>
      </c>
      <c r="H71" s="166">
        <f t="shared" si="21"/>
        <v>19.383169934640524</v>
      </c>
      <c r="I71" s="164">
        <f t="shared" si="22"/>
        <v>62752.695</v>
      </c>
      <c r="J71" s="164">
        <f t="shared" si="23"/>
        <v>1216346.1510416667</v>
      </c>
      <c r="K71" s="164">
        <f t="shared" si="24"/>
        <v>377553.84528333339</v>
      </c>
      <c r="L71" s="164">
        <v>0</v>
      </c>
      <c r="M71" s="164">
        <f t="shared" si="25"/>
        <v>1593899.9963250002</v>
      </c>
      <c r="N71" s="149">
        <v>0</v>
      </c>
      <c r="O71" s="149">
        <f t="shared" si="26"/>
        <v>1593899.9963250002</v>
      </c>
    </row>
    <row r="72" spans="1:15" ht="13.5" customHeight="1" x14ac:dyDescent="0.35">
      <c r="A72" s="170">
        <v>23002</v>
      </c>
      <c r="B72" s="170" t="s">
        <v>267</v>
      </c>
      <c r="C72" s="167">
        <v>776.1</v>
      </c>
      <c r="D72" s="169">
        <v>0.25</v>
      </c>
      <c r="E72" s="166">
        <f t="shared" si="18"/>
        <v>15</v>
      </c>
      <c r="F72" s="166">
        <f t="shared" si="19"/>
        <v>51.74</v>
      </c>
      <c r="G72" s="166">
        <f t="shared" si="20"/>
        <v>1.6666666666666666E-2</v>
      </c>
      <c r="H72" s="166">
        <f t="shared" si="21"/>
        <v>51.756666666666668</v>
      </c>
      <c r="I72" s="164">
        <f t="shared" si="22"/>
        <v>62752.695</v>
      </c>
      <c r="J72" s="164">
        <f t="shared" si="23"/>
        <v>3247870.3175500003</v>
      </c>
      <c r="K72" s="164">
        <f t="shared" si="24"/>
        <v>1008138.9465675201</v>
      </c>
      <c r="L72" s="164">
        <v>0</v>
      </c>
      <c r="M72" s="164">
        <f t="shared" si="25"/>
        <v>4256009.2641175203</v>
      </c>
      <c r="N72" s="149">
        <v>0</v>
      </c>
      <c r="O72" s="149">
        <f t="shared" si="26"/>
        <v>4256009.2641175203</v>
      </c>
    </row>
    <row r="73" spans="1:15" ht="13.5" customHeight="1" x14ac:dyDescent="0.35">
      <c r="A73" s="170">
        <v>53002</v>
      </c>
      <c r="B73" s="170" t="s">
        <v>268</v>
      </c>
      <c r="C73" s="167">
        <v>102</v>
      </c>
      <c r="D73" s="216" t="s">
        <v>422</v>
      </c>
      <c r="E73" s="217"/>
      <c r="F73" s="217"/>
      <c r="G73" s="217"/>
      <c r="H73" s="217"/>
      <c r="I73" s="217"/>
      <c r="J73" s="217"/>
      <c r="K73" s="217"/>
      <c r="L73" s="217"/>
      <c r="M73" s="218"/>
      <c r="N73" s="149">
        <v>700377.03482142859</v>
      </c>
      <c r="O73" s="149">
        <f t="shared" si="26"/>
        <v>700377.03482142859</v>
      </c>
    </row>
    <row r="74" spans="1:15" ht="13.5" customHeight="1" x14ac:dyDescent="0.35">
      <c r="A74" s="170">
        <v>48003</v>
      </c>
      <c r="B74" s="170" t="s">
        <v>269</v>
      </c>
      <c r="C74" s="167">
        <v>365</v>
      </c>
      <c r="D74" s="169">
        <v>0.5</v>
      </c>
      <c r="E74" s="166">
        <f t="shared" ref="E74:E108" si="27">IF(C74&lt;200,12,IF(C74&gt;600,15,(C74*0.0075)+10.5))</f>
        <v>13.237500000000001</v>
      </c>
      <c r="F74" s="166">
        <f t="shared" ref="F74:F105" si="28">C74/E74</f>
        <v>27.57318224740321</v>
      </c>
      <c r="G74" s="166">
        <f t="shared" ref="G74:G105" si="29">D74/E74</f>
        <v>3.7771482530689328E-2</v>
      </c>
      <c r="H74" s="166">
        <f t="shared" ref="H74:H105" si="30">F74+G74</f>
        <v>27.6109537299339</v>
      </c>
      <c r="I74" s="164">
        <f t="shared" ref="I74:I105" si="31">$I$1*1.29</f>
        <v>62752.695</v>
      </c>
      <c r="J74" s="164">
        <f t="shared" ref="J74:J105" si="32">H74*I74</f>
        <v>1732661.7580736545</v>
      </c>
      <c r="K74" s="164">
        <f t="shared" ref="K74:K105" si="33">J74*0.3104</f>
        <v>537818.20970606233</v>
      </c>
      <c r="L74" s="164">
        <v>0</v>
      </c>
      <c r="M74" s="164">
        <f t="shared" ref="M74:M105" si="34">J74+K74+L74</f>
        <v>2270479.9677797169</v>
      </c>
      <c r="N74" s="149">
        <v>0</v>
      </c>
      <c r="O74" s="149">
        <f t="shared" si="26"/>
        <v>2270479.9677797169</v>
      </c>
    </row>
    <row r="75" spans="1:15" ht="13.5" customHeight="1" x14ac:dyDescent="0.35">
      <c r="A75" s="170">
        <v>2002</v>
      </c>
      <c r="B75" s="170" t="s">
        <v>270</v>
      </c>
      <c r="C75" s="167">
        <v>2612.23</v>
      </c>
      <c r="D75" s="169">
        <v>159.75</v>
      </c>
      <c r="E75" s="166">
        <f t="shared" si="27"/>
        <v>15</v>
      </c>
      <c r="F75" s="166">
        <f t="shared" si="28"/>
        <v>174.14866666666666</v>
      </c>
      <c r="G75" s="166">
        <f t="shared" si="29"/>
        <v>10.65</v>
      </c>
      <c r="H75" s="166">
        <f t="shared" si="30"/>
        <v>184.79866666666666</v>
      </c>
      <c r="I75" s="164">
        <f t="shared" si="31"/>
        <v>62752.695</v>
      </c>
      <c r="J75" s="164">
        <f t="shared" si="32"/>
        <v>11596614.365739999</v>
      </c>
      <c r="K75" s="164">
        <f t="shared" si="33"/>
        <v>3599589.0991256959</v>
      </c>
      <c r="L75" s="164">
        <v>13585</v>
      </c>
      <c r="M75" s="164">
        <f t="shared" si="34"/>
        <v>15209788.464865696</v>
      </c>
      <c r="N75" s="149">
        <v>0</v>
      </c>
      <c r="O75" s="149">
        <f t="shared" si="26"/>
        <v>15209788.464865696</v>
      </c>
    </row>
    <row r="76" spans="1:15" ht="13.5" customHeight="1" x14ac:dyDescent="0.35">
      <c r="A76" s="170">
        <v>22006</v>
      </c>
      <c r="B76" s="170" t="s">
        <v>271</v>
      </c>
      <c r="C76" s="167">
        <v>405.49</v>
      </c>
      <c r="D76" s="169">
        <v>3.75</v>
      </c>
      <c r="E76" s="166">
        <f t="shared" si="27"/>
        <v>13.541174999999999</v>
      </c>
      <c r="F76" s="166">
        <f t="shared" si="28"/>
        <v>29.944964155621651</v>
      </c>
      <c r="G76" s="166">
        <f t="shared" si="29"/>
        <v>0.27693313172601347</v>
      </c>
      <c r="H76" s="166">
        <f t="shared" si="30"/>
        <v>30.221897287347666</v>
      </c>
      <c r="I76" s="164">
        <f t="shared" si="31"/>
        <v>62752.695</v>
      </c>
      <c r="J76" s="164">
        <f t="shared" si="32"/>
        <v>1896505.5027942555</v>
      </c>
      <c r="K76" s="164">
        <f t="shared" si="33"/>
        <v>588675.30806733691</v>
      </c>
      <c r="L76" s="164">
        <v>0</v>
      </c>
      <c r="M76" s="164">
        <f t="shared" si="34"/>
        <v>2485180.8108615922</v>
      </c>
      <c r="N76" s="149">
        <v>0</v>
      </c>
      <c r="O76" s="149">
        <f t="shared" si="26"/>
        <v>2485180.8108615922</v>
      </c>
    </row>
    <row r="77" spans="1:15" ht="13.5" customHeight="1" x14ac:dyDescent="0.35">
      <c r="A77" s="170">
        <v>13003</v>
      </c>
      <c r="B77" s="170" t="s">
        <v>272</v>
      </c>
      <c r="C77" s="167">
        <v>296.3</v>
      </c>
      <c r="D77" s="169">
        <v>0</v>
      </c>
      <c r="E77" s="166">
        <f t="shared" si="27"/>
        <v>12.722249999999999</v>
      </c>
      <c r="F77" s="166">
        <f t="shared" si="28"/>
        <v>23.289905480555721</v>
      </c>
      <c r="G77" s="166">
        <f t="shared" si="29"/>
        <v>0</v>
      </c>
      <c r="H77" s="166">
        <f t="shared" si="30"/>
        <v>23.289905480555721</v>
      </c>
      <c r="I77" s="164">
        <f t="shared" si="31"/>
        <v>62752.695</v>
      </c>
      <c r="J77" s="164">
        <f t="shared" si="32"/>
        <v>1461504.3352001416</v>
      </c>
      <c r="K77" s="164">
        <f t="shared" si="33"/>
        <v>453650.94564612396</v>
      </c>
      <c r="L77" s="164">
        <v>0</v>
      </c>
      <c r="M77" s="164">
        <f t="shared" si="34"/>
        <v>1915155.2808462656</v>
      </c>
      <c r="N77" s="149">
        <v>0</v>
      </c>
      <c r="O77" s="149">
        <f t="shared" si="26"/>
        <v>1915155.2808462656</v>
      </c>
    </row>
    <row r="78" spans="1:15" ht="13.5" customHeight="1" x14ac:dyDescent="0.35">
      <c r="A78" s="170">
        <v>2003</v>
      </c>
      <c r="B78" s="170" t="s">
        <v>273</v>
      </c>
      <c r="C78" s="167">
        <v>219</v>
      </c>
      <c r="D78" s="169">
        <v>1</v>
      </c>
      <c r="E78" s="166">
        <f t="shared" si="27"/>
        <v>12.1425</v>
      </c>
      <c r="F78" s="166">
        <f t="shared" si="28"/>
        <v>18.035824583075971</v>
      </c>
      <c r="G78" s="166">
        <f t="shared" si="29"/>
        <v>8.2355363393040976E-2</v>
      </c>
      <c r="H78" s="166">
        <f t="shared" si="30"/>
        <v>18.118179946469013</v>
      </c>
      <c r="I78" s="164">
        <f t="shared" si="31"/>
        <v>62752.695</v>
      </c>
      <c r="J78" s="164">
        <f t="shared" si="32"/>
        <v>1136964.6201358864</v>
      </c>
      <c r="K78" s="164">
        <f t="shared" si="33"/>
        <v>352913.81809017912</v>
      </c>
      <c r="L78" s="164">
        <v>0</v>
      </c>
      <c r="M78" s="164">
        <f t="shared" si="34"/>
        <v>1489878.4382260656</v>
      </c>
      <c r="N78" s="149">
        <v>0</v>
      </c>
      <c r="O78" s="149">
        <f t="shared" si="26"/>
        <v>1489878.4382260656</v>
      </c>
    </row>
    <row r="79" spans="1:15" ht="13.5" customHeight="1" x14ac:dyDescent="0.35">
      <c r="A79" s="170">
        <v>37003</v>
      </c>
      <c r="B79" s="170" t="s">
        <v>274</v>
      </c>
      <c r="C79" s="167">
        <v>187.29</v>
      </c>
      <c r="D79" s="169">
        <v>0</v>
      </c>
      <c r="E79" s="166">
        <f t="shared" si="27"/>
        <v>12</v>
      </c>
      <c r="F79" s="166">
        <f t="shared" si="28"/>
        <v>15.6075</v>
      </c>
      <c r="G79" s="166">
        <f t="shared" si="29"/>
        <v>0</v>
      </c>
      <c r="H79" s="166">
        <f t="shared" si="30"/>
        <v>15.6075</v>
      </c>
      <c r="I79" s="164">
        <f t="shared" si="31"/>
        <v>62752.695</v>
      </c>
      <c r="J79" s="164">
        <f t="shared" si="32"/>
        <v>979412.68721250002</v>
      </c>
      <c r="K79" s="164">
        <f t="shared" si="33"/>
        <v>304009.69811076001</v>
      </c>
      <c r="L79" s="164">
        <v>0</v>
      </c>
      <c r="M79" s="164">
        <f t="shared" si="34"/>
        <v>1283422.38532326</v>
      </c>
      <c r="N79" s="149">
        <v>0</v>
      </c>
      <c r="O79" s="149">
        <f t="shared" si="26"/>
        <v>1283422.38532326</v>
      </c>
    </row>
    <row r="80" spans="1:15" ht="13.5" customHeight="1" x14ac:dyDescent="0.35">
      <c r="A80" s="170">
        <v>35002</v>
      </c>
      <c r="B80" s="170" t="s">
        <v>275</v>
      </c>
      <c r="C80" s="167">
        <v>322</v>
      </c>
      <c r="D80" s="169">
        <v>0</v>
      </c>
      <c r="E80" s="166">
        <f t="shared" si="27"/>
        <v>12.914999999999999</v>
      </c>
      <c r="F80" s="166">
        <f t="shared" si="28"/>
        <v>24.932249322493227</v>
      </c>
      <c r="G80" s="166">
        <f t="shared" si="29"/>
        <v>0</v>
      </c>
      <c r="H80" s="166">
        <f t="shared" si="30"/>
        <v>24.932249322493227</v>
      </c>
      <c r="I80" s="164">
        <f t="shared" si="31"/>
        <v>62752.695</v>
      </c>
      <c r="J80" s="164">
        <f t="shared" si="32"/>
        <v>1564565.8373983742</v>
      </c>
      <c r="K80" s="164">
        <f t="shared" si="33"/>
        <v>485641.23592845537</v>
      </c>
      <c r="L80" s="164">
        <v>0</v>
      </c>
      <c r="M80" s="164">
        <f t="shared" si="34"/>
        <v>2050207.0733268296</v>
      </c>
      <c r="N80" s="149">
        <v>0</v>
      </c>
      <c r="O80" s="149">
        <f t="shared" si="26"/>
        <v>2050207.0733268296</v>
      </c>
    </row>
    <row r="81" spans="1:15" ht="13.5" customHeight="1" x14ac:dyDescent="0.35">
      <c r="A81" s="170">
        <v>7002</v>
      </c>
      <c r="B81" s="170" t="s">
        <v>276</v>
      </c>
      <c r="C81" s="167">
        <v>304.25</v>
      </c>
      <c r="D81" s="169">
        <v>1.25</v>
      </c>
      <c r="E81" s="166">
        <f t="shared" si="27"/>
        <v>12.781874999999999</v>
      </c>
      <c r="F81" s="166">
        <f t="shared" si="28"/>
        <v>23.803237005525403</v>
      </c>
      <c r="G81" s="166">
        <f t="shared" si="29"/>
        <v>9.7794728864114222E-2</v>
      </c>
      <c r="H81" s="166">
        <f t="shared" si="30"/>
        <v>23.901031734389516</v>
      </c>
      <c r="I81" s="164">
        <f t="shared" si="31"/>
        <v>62752.695</v>
      </c>
      <c r="J81" s="164">
        <f t="shared" si="32"/>
        <v>1499854.1546134662</v>
      </c>
      <c r="K81" s="164">
        <f t="shared" si="33"/>
        <v>465554.72959201992</v>
      </c>
      <c r="L81" s="164">
        <v>0</v>
      </c>
      <c r="M81" s="164">
        <f t="shared" si="34"/>
        <v>1965408.8842054862</v>
      </c>
      <c r="N81" s="149">
        <v>0</v>
      </c>
      <c r="O81" s="149">
        <f t="shared" si="26"/>
        <v>1965408.8842054862</v>
      </c>
    </row>
    <row r="82" spans="1:15" ht="13.5" customHeight="1" x14ac:dyDescent="0.35">
      <c r="A82" s="170">
        <v>38003</v>
      </c>
      <c r="B82" s="170" t="s">
        <v>277</v>
      </c>
      <c r="C82" s="167">
        <v>157</v>
      </c>
      <c r="D82" s="169">
        <v>0</v>
      </c>
      <c r="E82" s="166">
        <f t="shared" si="27"/>
        <v>12</v>
      </c>
      <c r="F82" s="166">
        <f t="shared" si="28"/>
        <v>13.083333333333334</v>
      </c>
      <c r="G82" s="166">
        <f t="shared" si="29"/>
        <v>0</v>
      </c>
      <c r="H82" s="166">
        <f t="shared" si="30"/>
        <v>13.083333333333334</v>
      </c>
      <c r="I82" s="164">
        <f t="shared" si="31"/>
        <v>62752.695</v>
      </c>
      <c r="J82" s="164">
        <f t="shared" si="32"/>
        <v>821014.42625000002</v>
      </c>
      <c r="K82" s="164">
        <f t="shared" si="33"/>
        <v>254842.87790800002</v>
      </c>
      <c r="L82" s="164">
        <v>0</v>
      </c>
      <c r="M82" s="164">
        <f t="shared" si="34"/>
        <v>1075857.304158</v>
      </c>
      <c r="N82" s="149">
        <v>0</v>
      </c>
      <c r="O82" s="149">
        <f t="shared" si="26"/>
        <v>1075857.304158</v>
      </c>
    </row>
    <row r="83" spans="1:15" ht="13.5" customHeight="1" x14ac:dyDescent="0.35">
      <c r="A83" s="170">
        <v>45005</v>
      </c>
      <c r="B83" s="170" t="s">
        <v>278</v>
      </c>
      <c r="C83" s="167">
        <v>203</v>
      </c>
      <c r="D83" s="169">
        <v>1.75</v>
      </c>
      <c r="E83" s="166">
        <f t="shared" si="27"/>
        <v>12.022500000000001</v>
      </c>
      <c r="F83" s="166">
        <f t="shared" si="28"/>
        <v>16.885007278020378</v>
      </c>
      <c r="G83" s="166">
        <f t="shared" si="29"/>
        <v>0.14556040756914118</v>
      </c>
      <c r="H83" s="166">
        <f t="shared" si="30"/>
        <v>17.030567685589521</v>
      </c>
      <c r="I83" s="164">
        <f t="shared" si="31"/>
        <v>62752.695</v>
      </c>
      <c r="J83" s="164">
        <f t="shared" si="32"/>
        <v>1068714.0196506551</v>
      </c>
      <c r="K83" s="164">
        <f t="shared" si="33"/>
        <v>331728.83169956336</v>
      </c>
      <c r="L83" s="164">
        <v>0</v>
      </c>
      <c r="M83" s="164">
        <f t="shared" si="34"/>
        <v>1400442.8513502185</v>
      </c>
      <c r="N83" s="149">
        <v>0</v>
      </c>
      <c r="O83" s="149">
        <f t="shared" si="26"/>
        <v>1400442.8513502185</v>
      </c>
    </row>
    <row r="84" spans="1:15" ht="13.5" customHeight="1" x14ac:dyDescent="0.35">
      <c r="A84" s="170">
        <v>40001</v>
      </c>
      <c r="B84" s="170" t="s">
        <v>279</v>
      </c>
      <c r="C84" s="167">
        <v>784.5</v>
      </c>
      <c r="D84" s="169">
        <v>4.5</v>
      </c>
      <c r="E84" s="166">
        <f t="shared" si="27"/>
        <v>15</v>
      </c>
      <c r="F84" s="166">
        <f t="shared" si="28"/>
        <v>52.3</v>
      </c>
      <c r="G84" s="166">
        <f t="shared" si="29"/>
        <v>0.3</v>
      </c>
      <c r="H84" s="166">
        <f t="shared" si="30"/>
        <v>52.599999999999994</v>
      </c>
      <c r="I84" s="164">
        <f t="shared" si="31"/>
        <v>62752.695</v>
      </c>
      <c r="J84" s="164">
        <f t="shared" si="32"/>
        <v>3300791.7569999998</v>
      </c>
      <c r="K84" s="164">
        <f t="shared" si="33"/>
        <v>1024565.7613728</v>
      </c>
      <c r="L84" s="164">
        <v>0</v>
      </c>
      <c r="M84" s="164">
        <f t="shared" si="34"/>
        <v>4325357.5183728002</v>
      </c>
      <c r="N84" s="149">
        <v>0</v>
      </c>
      <c r="O84" s="149">
        <f t="shared" si="26"/>
        <v>4325357.5183728002</v>
      </c>
    </row>
    <row r="85" spans="1:15" ht="13.5" customHeight="1" x14ac:dyDescent="0.35">
      <c r="A85" s="170">
        <v>52004</v>
      </c>
      <c r="B85" s="170" t="s">
        <v>280</v>
      </c>
      <c r="C85" s="167">
        <v>246.19</v>
      </c>
      <c r="D85" s="169">
        <v>0</v>
      </c>
      <c r="E85" s="166">
        <f t="shared" si="27"/>
        <v>12.346425</v>
      </c>
      <c r="F85" s="166">
        <f t="shared" si="28"/>
        <v>19.940185114314467</v>
      </c>
      <c r="G85" s="166">
        <f t="shared" si="29"/>
        <v>0</v>
      </c>
      <c r="H85" s="166">
        <f t="shared" si="30"/>
        <v>19.940185114314467</v>
      </c>
      <c r="I85" s="164">
        <f t="shared" si="31"/>
        <v>62752.695</v>
      </c>
      <c r="J85" s="164">
        <f t="shared" si="32"/>
        <v>1251300.3547221159</v>
      </c>
      <c r="K85" s="164">
        <f t="shared" si="33"/>
        <v>388403.63010574481</v>
      </c>
      <c r="L85" s="164">
        <v>0</v>
      </c>
      <c r="M85" s="164">
        <f t="shared" si="34"/>
        <v>1639703.9848278607</v>
      </c>
      <c r="N85" s="149">
        <v>0</v>
      </c>
      <c r="O85" s="149">
        <f t="shared" si="26"/>
        <v>1639703.9848278607</v>
      </c>
    </row>
    <row r="86" spans="1:15" ht="13.5" customHeight="1" x14ac:dyDescent="0.35">
      <c r="A86" s="170">
        <v>41004</v>
      </c>
      <c r="B86" s="170" t="s">
        <v>281</v>
      </c>
      <c r="C86" s="167">
        <v>1079</v>
      </c>
      <c r="D86" s="169">
        <v>0.25</v>
      </c>
      <c r="E86" s="166">
        <f t="shared" si="27"/>
        <v>15</v>
      </c>
      <c r="F86" s="166">
        <f t="shared" si="28"/>
        <v>71.933333333333337</v>
      </c>
      <c r="G86" s="166">
        <f t="shared" si="29"/>
        <v>1.6666666666666666E-2</v>
      </c>
      <c r="H86" s="166">
        <f t="shared" si="30"/>
        <v>71.95</v>
      </c>
      <c r="I86" s="164">
        <f t="shared" si="31"/>
        <v>62752.695</v>
      </c>
      <c r="J86" s="164">
        <f t="shared" si="32"/>
        <v>4515056.4052499998</v>
      </c>
      <c r="K86" s="164">
        <f t="shared" si="33"/>
        <v>1401473.5081896</v>
      </c>
      <c r="L86" s="164">
        <v>0</v>
      </c>
      <c r="M86" s="164">
        <f t="shared" si="34"/>
        <v>5916529.9134395998</v>
      </c>
      <c r="N86" s="149">
        <v>0</v>
      </c>
      <c r="O86" s="149">
        <f t="shared" si="26"/>
        <v>5916529.9134395998</v>
      </c>
    </row>
    <row r="87" spans="1:15" ht="13.5" customHeight="1" x14ac:dyDescent="0.35">
      <c r="A87" s="170">
        <v>44002</v>
      </c>
      <c r="B87" s="170" t="s">
        <v>282</v>
      </c>
      <c r="C87" s="167">
        <v>203</v>
      </c>
      <c r="D87" s="169">
        <v>7</v>
      </c>
      <c r="E87" s="166">
        <f t="shared" si="27"/>
        <v>12.022500000000001</v>
      </c>
      <c r="F87" s="166">
        <f t="shared" si="28"/>
        <v>16.885007278020378</v>
      </c>
      <c r="G87" s="166">
        <f t="shared" si="29"/>
        <v>0.58224163027656473</v>
      </c>
      <c r="H87" s="166">
        <f t="shared" si="30"/>
        <v>17.467248908296941</v>
      </c>
      <c r="I87" s="164">
        <f t="shared" si="31"/>
        <v>62752.695</v>
      </c>
      <c r="J87" s="164">
        <f t="shared" si="32"/>
        <v>1096116.9432314408</v>
      </c>
      <c r="K87" s="164">
        <f t="shared" si="33"/>
        <v>340234.69917903922</v>
      </c>
      <c r="L87" s="164">
        <v>0</v>
      </c>
      <c r="M87" s="164">
        <f t="shared" si="34"/>
        <v>1436351.64241048</v>
      </c>
      <c r="N87" s="149">
        <v>0</v>
      </c>
      <c r="O87" s="149">
        <f t="shared" si="26"/>
        <v>1436351.64241048</v>
      </c>
    </row>
    <row r="88" spans="1:15" ht="13.5" customHeight="1" x14ac:dyDescent="0.35">
      <c r="A88" s="170">
        <v>42001</v>
      </c>
      <c r="B88" s="170" t="s">
        <v>283</v>
      </c>
      <c r="C88" s="167">
        <v>366</v>
      </c>
      <c r="D88" s="169">
        <v>0</v>
      </c>
      <c r="E88" s="166">
        <f t="shared" si="27"/>
        <v>13.245000000000001</v>
      </c>
      <c r="F88" s="166">
        <f t="shared" si="28"/>
        <v>27.633069082672705</v>
      </c>
      <c r="G88" s="166">
        <f t="shared" si="29"/>
        <v>0</v>
      </c>
      <c r="H88" s="166">
        <f t="shared" si="30"/>
        <v>27.633069082672705</v>
      </c>
      <c r="I88" s="164">
        <f t="shared" si="31"/>
        <v>62752.695</v>
      </c>
      <c r="J88" s="164">
        <f t="shared" si="32"/>
        <v>1734049.55605889</v>
      </c>
      <c r="K88" s="164">
        <f t="shared" si="33"/>
        <v>538248.98220067949</v>
      </c>
      <c r="L88" s="164">
        <v>0</v>
      </c>
      <c r="M88" s="164">
        <f t="shared" si="34"/>
        <v>2272298.5382595696</v>
      </c>
      <c r="N88" s="149">
        <v>0</v>
      </c>
      <c r="O88" s="149">
        <f t="shared" si="26"/>
        <v>2272298.5382595696</v>
      </c>
    </row>
    <row r="89" spans="1:15" ht="13.5" customHeight="1" x14ac:dyDescent="0.35">
      <c r="A89" s="170">
        <v>39002</v>
      </c>
      <c r="B89" s="170" t="s">
        <v>284</v>
      </c>
      <c r="C89" s="167">
        <v>1222.3</v>
      </c>
      <c r="D89" s="169">
        <v>2</v>
      </c>
      <c r="E89" s="166">
        <f t="shared" si="27"/>
        <v>15</v>
      </c>
      <c r="F89" s="166">
        <f t="shared" si="28"/>
        <v>81.486666666666665</v>
      </c>
      <c r="G89" s="166">
        <f t="shared" si="29"/>
        <v>0.13333333333333333</v>
      </c>
      <c r="H89" s="166">
        <f t="shared" si="30"/>
        <v>81.62</v>
      </c>
      <c r="I89" s="164">
        <f t="shared" si="31"/>
        <v>62752.695</v>
      </c>
      <c r="J89" s="164">
        <f t="shared" si="32"/>
        <v>5121874.9659000002</v>
      </c>
      <c r="K89" s="164">
        <f t="shared" si="33"/>
        <v>1589829.9894153601</v>
      </c>
      <c r="L89" s="164">
        <v>0</v>
      </c>
      <c r="M89" s="164">
        <f t="shared" si="34"/>
        <v>6711704.9553153608</v>
      </c>
      <c r="N89" s="149">
        <v>0</v>
      </c>
      <c r="O89" s="149">
        <f t="shared" si="26"/>
        <v>6711704.9553153608</v>
      </c>
    </row>
    <row r="90" spans="1:15" ht="13.5" customHeight="1" x14ac:dyDescent="0.35">
      <c r="A90" s="170">
        <v>60003</v>
      </c>
      <c r="B90" s="170" t="s">
        <v>285</v>
      </c>
      <c r="C90" s="167">
        <v>174.2</v>
      </c>
      <c r="D90" s="169">
        <v>0.75</v>
      </c>
      <c r="E90" s="166">
        <f t="shared" si="27"/>
        <v>12</v>
      </c>
      <c r="F90" s="166">
        <f t="shared" si="28"/>
        <v>14.516666666666666</v>
      </c>
      <c r="G90" s="166">
        <f t="shared" si="29"/>
        <v>6.25E-2</v>
      </c>
      <c r="H90" s="166">
        <f t="shared" si="30"/>
        <v>14.579166666666666</v>
      </c>
      <c r="I90" s="164">
        <f t="shared" si="31"/>
        <v>62752.695</v>
      </c>
      <c r="J90" s="164">
        <f t="shared" si="32"/>
        <v>914881.99918749998</v>
      </c>
      <c r="K90" s="164">
        <f t="shared" si="33"/>
        <v>283979.37254780001</v>
      </c>
      <c r="L90" s="164">
        <v>0</v>
      </c>
      <c r="M90" s="164">
        <f t="shared" si="34"/>
        <v>1198861.3717352999</v>
      </c>
      <c r="N90" s="149">
        <v>0</v>
      </c>
      <c r="O90" s="149">
        <f t="shared" si="26"/>
        <v>1198861.3717352999</v>
      </c>
    </row>
    <row r="91" spans="1:15" ht="13.5" customHeight="1" x14ac:dyDescent="0.35">
      <c r="A91" s="170">
        <v>43007</v>
      </c>
      <c r="B91" s="170" t="s">
        <v>286</v>
      </c>
      <c r="C91" s="167">
        <v>378.32</v>
      </c>
      <c r="D91" s="169">
        <v>3.25</v>
      </c>
      <c r="E91" s="166">
        <f t="shared" si="27"/>
        <v>13.337399999999999</v>
      </c>
      <c r="F91" s="166">
        <f t="shared" si="28"/>
        <v>28.365348568686553</v>
      </c>
      <c r="G91" s="166">
        <f t="shared" si="29"/>
        <v>0.24367567891793004</v>
      </c>
      <c r="H91" s="166">
        <f t="shared" si="30"/>
        <v>28.609024247604484</v>
      </c>
      <c r="I91" s="164">
        <f t="shared" si="31"/>
        <v>62752.695</v>
      </c>
      <c r="J91" s="164">
        <f t="shared" si="32"/>
        <v>1795293.3728575287</v>
      </c>
      <c r="K91" s="164">
        <f t="shared" si="33"/>
        <v>557259.06293497689</v>
      </c>
      <c r="L91" s="164">
        <v>0</v>
      </c>
      <c r="M91" s="164">
        <f t="shared" si="34"/>
        <v>2352552.4357925057</v>
      </c>
      <c r="N91" s="149">
        <v>0</v>
      </c>
      <c r="O91" s="149">
        <f t="shared" si="26"/>
        <v>2352552.4357925057</v>
      </c>
    </row>
    <row r="92" spans="1:15" ht="13.5" customHeight="1" x14ac:dyDescent="0.35">
      <c r="A92" s="170">
        <v>15001</v>
      </c>
      <c r="B92" s="170" t="s">
        <v>287</v>
      </c>
      <c r="C92" s="167">
        <v>177</v>
      </c>
      <c r="D92" s="169">
        <v>0</v>
      </c>
      <c r="E92" s="166">
        <f t="shared" si="27"/>
        <v>12</v>
      </c>
      <c r="F92" s="166">
        <f t="shared" si="28"/>
        <v>14.75</v>
      </c>
      <c r="G92" s="166">
        <f t="shared" si="29"/>
        <v>0</v>
      </c>
      <c r="H92" s="166">
        <f t="shared" si="30"/>
        <v>14.75</v>
      </c>
      <c r="I92" s="164">
        <f t="shared" si="31"/>
        <v>62752.695</v>
      </c>
      <c r="J92" s="164">
        <f t="shared" si="32"/>
        <v>925602.25124999997</v>
      </c>
      <c r="K92" s="164">
        <f t="shared" si="33"/>
        <v>287306.93878800003</v>
      </c>
      <c r="L92" s="164">
        <v>0</v>
      </c>
      <c r="M92" s="164">
        <f t="shared" si="34"/>
        <v>1212909.190038</v>
      </c>
      <c r="N92" s="149">
        <v>0</v>
      </c>
      <c r="O92" s="149">
        <f t="shared" si="26"/>
        <v>1212909.190038</v>
      </c>
    </row>
    <row r="93" spans="1:15" ht="13.5" customHeight="1" x14ac:dyDescent="0.35">
      <c r="A93" s="170">
        <v>15002</v>
      </c>
      <c r="B93" s="170" t="s">
        <v>288</v>
      </c>
      <c r="C93" s="167">
        <v>441.36</v>
      </c>
      <c r="D93" s="169">
        <v>0</v>
      </c>
      <c r="E93" s="166">
        <f t="shared" si="27"/>
        <v>13.8102</v>
      </c>
      <c r="F93" s="166">
        <f t="shared" si="28"/>
        <v>31.958986835817004</v>
      </c>
      <c r="G93" s="166">
        <f t="shared" si="29"/>
        <v>0</v>
      </c>
      <c r="H93" s="166">
        <f t="shared" si="30"/>
        <v>31.958986835817004</v>
      </c>
      <c r="I93" s="164">
        <f t="shared" si="31"/>
        <v>62752.695</v>
      </c>
      <c r="J93" s="164">
        <f t="shared" si="32"/>
        <v>2005512.5534170396</v>
      </c>
      <c r="K93" s="164">
        <f t="shared" si="33"/>
        <v>622511.09658064914</v>
      </c>
      <c r="L93" s="164">
        <v>0</v>
      </c>
      <c r="M93" s="164">
        <f t="shared" si="34"/>
        <v>2628023.6499976888</v>
      </c>
      <c r="N93" s="149">
        <v>0</v>
      </c>
      <c r="O93" s="149">
        <f t="shared" si="26"/>
        <v>2628023.6499976888</v>
      </c>
    </row>
    <row r="94" spans="1:15" ht="13.5" customHeight="1" x14ac:dyDescent="0.35">
      <c r="A94" s="170">
        <v>46001</v>
      </c>
      <c r="B94" s="170" t="s">
        <v>289</v>
      </c>
      <c r="C94" s="167">
        <v>2825.25</v>
      </c>
      <c r="D94" s="169">
        <v>0.25</v>
      </c>
      <c r="E94" s="166">
        <f t="shared" si="27"/>
        <v>15</v>
      </c>
      <c r="F94" s="166">
        <f t="shared" si="28"/>
        <v>188.35</v>
      </c>
      <c r="G94" s="166">
        <f t="shared" si="29"/>
        <v>1.6666666666666666E-2</v>
      </c>
      <c r="H94" s="166">
        <f t="shared" si="30"/>
        <v>188.36666666666667</v>
      </c>
      <c r="I94" s="164">
        <f t="shared" si="31"/>
        <v>62752.695</v>
      </c>
      <c r="J94" s="164">
        <f t="shared" si="32"/>
        <v>11820515.9815</v>
      </c>
      <c r="K94" s="164">
        <f t="shared" si="33"/>
        <v>3669088.1606576</v>
      </c>
      <c r="L94" s="164">
        <v>0</v>
      </c>
      <c r="M94" s="164">
        <f t="shared" si="34"/>
        <v>15489604.142157599</v>
      </c>
      <c r="N94" s="149">
        <v>0</v>
      </c>
      <c r="O94" s="149">
        <f t="shared" si="26"/>
        <v>15489604.142157599</v>
      </c>
    </row>
    <row r="95" spans="1:15" ht="13.5" customHeight="1" x14ac:dyDescent="0.35">
      <c r="A95" s="170">
        <v>33002</v>
      </c>
      <c r="B95" s="170" t="s">
        <v>290</v>
      </c>
      <c r="C95" s="167">
        <v>280</v>
      </c>
      <c r="D95" s="169">
        <v>5.25</v>
      </c>
      <c r="E95" s="166">
        <f t="shared" si="27"/>
        <v>12.6</v>
      </c>
      <c r="F95" s="166">
        <f t="shared" si="28"/>
        <v>22.222222222222221</v>
      </c>
      <c r="G95" s="166">
        <f t="shared" si="29"/>
        <v>0.41666666666666669</v>
      </c>
      <c r="H95" s="166">
        <f t="shared" si="30"/>
        <v>22.638888888888889</v>
      </c>
      <c r="I95" s="164">
        <f t="shared" si="31"/>
        <v>62752.695</v>
      </c>
      <c r="J95" s="164">
        <f t="shared" si="32"/>
        <v>1420651.2895833333</v>
      </c>
      <c r="K95" s="164">
        <f t="shared" si="33"/>
        <v>440970.16028666665</v>
      </c>
      <c r="L95" s="164">
        <v>0</v>
      </c>
      <c r="M95" s="164">
        <f t="shared" si="34"/>
        <v>1861621.4498699999</v>
      </c>
      <c r="N95" s="149">
        <v>0</v>
      </c>
      <c r="O95" s="149">
        <f t="shared" si="26"/>
        <v>1861621.4498699999</v>
      </c>
    </row>
    <row r="96" spans="1:15" ht="13.5" customHeight="1" x14ac:dyDescent="0.35">
      <c r="A96" s="170">
        <v>25004</v>
      </c>
      <c r="B96" s="170" t="s">
        <v>291</v>
      </c>
      <c r="C96" s="167">
        <v>958.25</v>
      </c>
      <c r="D96" s="169">
        <v>4.5</v>
      </c>
      <c r="E96" s="166">
        <f t="shared" si="27"/>
        <v>15</v>
      </c>
      <c r="F96" s="166">
        <f t="shared" si="28"/>
        <v>63.883333333333333</v>
      </c>
      <c r="G96" s="166">
        <f t="shared" si="29"/>
        <v>0.3</v>
      </c>
      <c r="H96" s="166">
        <f t="shared" si="30"/>
        <v>64.183333333333337</v>
      </c>
      <c r="I96" s="164">
        <f t="shared" si="31"/>
        <v>62752.695</v>
      </c>
      <c r="J96" s="164">
        <f t="shared" si="32"/>
        <v>4027677.1407500003</v>
      </c>
      <c r="K96" s="164">
        <f t="shared" si="33"/>
        <v>1250190.9844888002</v>
      </c>
      <c r="L96" s="164">
        <v>0</v>
      </c>
      <c r="M96" s="164">
        <f t="shared" si="34"/>
        <v>5277868.1252388004</v>
      </c>
      <c r="N96" s="149">
        <v>0</v>
      </c>
      <c r="O96" s="149">
        <f t="shared" si="26"/>
        <v>5277868.1252388004</v>
      </c>
    </row>
    <row r="97" spans="1:15" ht="13.5" customHeight="1" x14ac:dyDescent="0.35">
      <c r="A97" s="170">
        <v>29004</v>
      </c>
      <c r="B97" s="170" t="s">
        <v>292</v>
      </c>
      <c r="C97" s="167">
        <v>465.05</v>
      </c>
      <c r="D97" s="169">
        <v>2</v>
      </c>
      <c r="E97" s="166">
        <f t="shared" si="27"/>
        <v>13.987874999999999</v>
      </c>
      <c r="F97" s="166">
        <f t="shared" si="28"/>
        <v>33.246651117485683</v>
      </c>
      <c r="G97" s="166">
        <f t="shared" si="29"/>
        <v>0.14298097459406808</v>
      </c>
      <c r="H97" s="166">
        <f t="shared" si="30"/>
        <v>33.389632092079751</v>
      </c>
      <c r="I97" s="164">
        <f t="shared" si="31"/>
        <v>62752.695</v>
      </c>
      <c r="J97" s="164">
        <f t="shared" si="32"/>
        <v>2095289.3988364926</v>
      </c>
      <c r="K97" s="164">
        <f t="shared" si="33"/>
        <v>650377.8293988473</v>
      </c>
      <c r="L97" s="164">
        <v>0</v>
      </c>
      <c r="M97" s="164">
        <f t="shared" si="34"/>
        <v>2745667.2282353397</v>
      </c>
      <c r="N97" s="149">
        <v>0</v>
      </c>
      <c r="O97" s="149">
        <f t="shared" si="26"/>
        <v>2745667.2282353397</v>
      </c>
    </row>
    <row r="98" spans="1:15" ht="14.25" customHeight="1" x14ac:dyDescent="0.35">
      <c r="A98" s="170">
        <v>17002</v>
      </c>
      <c r="B98" s="170" t="s">
        <v>293</v>
      </c>
      <c r="C98" s="167">
        <v>2791.14</v>
      </c>
      <c r="D98" s="169">
        <v>9.75</v>
      </c>
      <c r="E98" s="166">
        <f t="shared" si="27"/>
        <v>15</v>
      </c>
      <c r="F98" s="166">
        <f t="shared" si="28"/>
        <v>186.07599999999999</v>
      </c>
      <c r="G98" s="166">
        <f t="shared" si="29"/>
        <v>0.65</v>
      </c>
      <c r="H98" s="166">
        <f t="shared" si="30"/>
        <v>186.726</v>
      </c>
      <c r="I98" s="164">
        <f t="shared" si="31"/>
        <v>62752.695</v>
      </c>
      <c r="J98" s="164">
        <f t="shared" si="32"/>
        <v>11717559.726569999</v>
      </c>
      <c r="K98" s="164">
        <f t="shared" si="33"/>
        <v>3637130.539127328</v>
      </c>
      <c r="L98" s="164">
        <v>0</v>
      </c>
      <c r="M98" s="164">
        <f t="shared" si="34"/>
        <v>15354690.265697327</v>
      </c>
      <c r="N98" s="149">
        <v>0</v>
      </c>
      <c r="O98" s="149">
        <f t="shared" si="26"/>
        <v>15354690.265697327</v>
      </c>
    </row>
    <row r="99" spans="1:15" ht="13.5" customHeight="1" x14ac:dyDescent="0.35">
      <c r="A99" s="170">
        <v>62006</v>
      </c>
      <c r="B99" s="170" t="s">
        <v>294</v>
      </c>
      <c r="C99" s="167">
        <v>627.02</v>
      </c>
      <c r="D99" s="169">
        <v>0</v>
      </c>
      <c r="E99" s="166">
        <f t="shared" si="27"/>
        <v>15</v>
      </c>
      <c r="F99" s="166">
        <f t="shared" si="28"/>
        <v>41.801333333333332</v>
      </c>
      <c r="G99" s="166">
        <f t="shared" si="29"/>
        <v>0</v>
      </c>
      <c r="H99" s="166">
        <f t="shared" si="30"/>
        <v>41.801333333333332</v>
      </c>
      <c r="I99" s="164">
        <f t="shared" si="31"/>
        <v>62752.695</v>
      </c>
      <c r="J99" s="164">
        <f t="shared" si="32"/>
        <v>2623146.3212600001</v>
      </c>
      <c r="K99" s="164">
        <f t="shared" si="33"/>
        <v>814224.61811910407</v>
      </c>
      <c r="L99" s="164">
        <v>0</v>
      </c>
      <c r="M99" s="164">
        <f t="shared" si="34"/>
        <v>3437370.9393791044</v>
      </c>
      <c r="N99" s="149">
        <v>0</v>
      </c>
      <c r="O99" s="149">
        <f t="shared" ref="O99:O130" si="35">IF(N99&gt;0,N99,M99)</f>
        <v>3437370.9393791044</v>
      </c>
    </row>
    <row r="100" spans="1:15" ht="13.5" customHeight="1" x14ac:dyDescent="0.35">
      <c r="A100" s="170">
        <v>43002</v>
      </c>
      <c r="B100" s="170" t="s">
        <v>295</v>
      </c>
      <c r="C100" s="167">
        <v>249</v>
      </c>
      <c r="D100" s="169">
        <v>2.75</v>
      </c>
      <c r="E100" s="166">
        <f t="shared" si="27"/>
        <v>12.3675</v>
      </c>
      <c r="F100" s="166">
        <f t="shared" si="28"/>
        <v>20.133414190418435</v>
      </c>
      <c r="G100" s="166">
        <f t="shared" si="29"/>
        <v>0.22235698403072571</v>
      </c>
      <c r="H100" s="166">
        <f t="shared" si="30"/>
        <v>20.35577117444916</v>
      </c>
      <c r="I100" s="164">
        <f t="shared" si="31"/>
        <v>62752.695</v>
      </c>
      <c r="J100" s="164">
        <f t="shared" si="32"/>
        <v>1277379.5</v>
      </c>
      <c r="K100" s="164">
        <f t="shared" si="33"/>
        <v>396498.5968</v>
      </c>
      <c r="L100" s="164">
        <v>0</v>
      </c>
      <c r="M100" s="164">
        <f t="shared" si="34"/>
        <v>1673878.0967999999</v>
      </c>
      <c r="N100" s="149">
        <v>0</v>
      </c>
      <c r="O100" s="149">
        <f t="shared" si="35"/>
        <v>1673878.0967999999</v>
      </c>
    </row>
    <row r="101" spans="1:15" ht="13.5" customHeight="1" x14ac:dyDescent="0.35">
      <c r="A101" s="170">
        <v>17003</v>
      </c>
      <c r="B101" s="170" t="s">
        <v>296</v>
      </c>
      <c r="C101" s="167">
        <v>215</v>
      </c>
      <c r="D101" s="169">
        <v>0.25</v>
      </c>
      <c r="E101" s="166">
        <f t="shared" si="27"/>
        <v>12.112500000000001</v>
      </c>
      <c r="F101" s="166">
        <f t="shared" si="28"/>
        <v>17.750257997936014</v>
      </c>
      <c r="G101" s="166">
        <f t="shared" si="29"/>
        <v>2.063983488132095E-2</v>
      </c>
      <c r="H101" s="166">
        <f t="shared" si="30"/>
        <v>17.770897832817337</v>
      </c>
      <c r="I101" s="164">
        <f t="shared" si="31"/>
        <v>62752.695</v>
      </c>
      <c r="J101" s="164">
        <f t="shared" si="32"/>
        <v>1115171.7315789473</v>
      </c>
      <c r="K101" s="164">
        <f t="shared" si="33"/>
        <v>346149.30548210524</v>
      </c>
      <c r="L101" s="164">
        <v>0</v>
      </c>
      <c r="M101" s="164">
        <f t="shared" si="34"/>
        <v>1461321.0370610524</v>
      </c>
      <c r="N101" s="149">
        <v>0</v>
      </c>
      <c r="O101" s="149">
        <f t="shared" si="35"/>
        <v>1461321.0370610524</v>
      </c>
    </row>
    <row r="102" spans="1:15" ht="13.5" customHeight="1" x14ac:dyDescent="0.35">
      <c r="A102" s="170">
        <v>51003</v>
      </c>
      <c r="B102" s="170" t="s">
        <v>297</v>
      </c>
      <c r="C102" s="167">
        <v>237</v>
      </c>
      <c r="D102" s="169">
        <v>1</v>
      </c>
      <c r="E102" s="166">
        <f t="shared" si="27"/>
        <v>12.2775</v>
      </c>
      <c r="F102" s="166">
        <f t="shared" si="28"/>
        <v>19.303604153940135</v>
      </c>
      <c r="G102" s="166">
        <f t="shared" si="29"/>
        <v>8.1449806556709428E-2</v>
      </c>
      <c r="H102" s="166">
        <f t="shared" si="30"/>
        <v>19.385053960496844</v>
      </c>
      <c r="I102" s="164">
        <f t="shared" si="31"/>
        <v>62752.695</v>
      </c>
      <c r="J102" s="164">
        <f t="shared" si="32"/>
        <v>1216464.3787416006</v>
      </c>
      <c r="K102" s="164">
        <f t="shared" si="33"/>
        <v>377590.54316139279</v>
      </c>
      <c r="L102" s="164">
        <v>0</v>
      </c>
      <c r="M102" s="164">
        <f t="shared" si="34"/>
        <v>1594054.9219029932</v>
      </c>
      <c r="N102" s="149">
        <v>0</v>
      </c>
      <c r="O102" s="149">
        <f t="shared" si="35"/>
        <v>1594054.9219029932</v>
      </c>
    </row>
    <row r="103" spans="1:15" ht="13.5" customHeight="1" x14ac:dyDescent="0.35">
      <c r="A103" s="170">
        <v>9002</v>
      </c>
      <c r="B103" s="170" t="s">
        <v>298</v>
      </c>
      <c r="C103" s="167">
        <v>292</v>
      </c>
      <c r="D103" s="169">
        <v>0</v>
      </c>
      <c r="E103" s="166">
        <f t="shared" si="27"/>
        <v>12.69</v>
      </c>
      <c r="F103" s="166">
        <f t="shared" si="28"/>
        <v>23.010244286840031</v>
      </c>
      <c r="G103" s="166">
        <f t="shared" si="29"/>
        <v>0</v>
      </c>
      <c r="H103" s="166">
        <f t="shared" si="30"/>
        <v>23.010244286840031</v>
      </c>
      <c r="I103" s="164">
        <f t="shared" si="31"/>
        <v>62752.695</v>
      </c>
      <c r="J103" s="164">
        <f t="shared" si="32"/>
        <v>1443954.8416075651</v>
      </c>
      <c r="K103" s="164">
        <f t="shared" si="33"/>
        <v>448203.58283498819</v>
      </c>
      <c r="L103" s="164">
        <v>0</v>
      </c>
      <c r="M103" s="164">
        <f t="shared" si="34"/>
        <v>1892158.4244425532</v>
      </c>
      <c r="N103" s="149">
        <v>0</v>
      </c>
      <c r="O103" s="149">
        <f t="shared" si="35"/>
        <v>1892158.4244425532</v>
      </c>
    </row>
    <row r="104" spans="1:15" ht="13.5" customHeight="1" x14ac:dyDescent="0.35">
      <c r="A104" s="170">
        <v>56007</v>
      </c>
      <c r="B104" s="170" t="s">
        <v>299</v>
      </c>
      <c r="C104" s="167">
        <v>254</v>
      </c>
      <c r="D104" s="169">
        <v>0</v>
      </c>
      <c r="E104" s="166">
        <f t="shared" si="27"/>
        <v>12.404999999999999</v>
      </c>
      <c r="F104" s="166">
        <f t="shared" si="28"/>
        <v>20.475614671503426</v>
      </c>
      <c r="G104" s="166">
        <f t="shared" si="29"/>
        <v>0</v>
      </c>
      <c r="H104" s="166">
        <f t="shared" si="30"/>
        <v>20.475614671503426</v>
      </c>
      <c r="I104" s="164">
        <f t="shared" si="31"/>
        <v>62752.695</v>
      </c>
      <c r="J104" s="164">
        <f t="shared" si="32"/>
        <v>1284900.0024183795</v>
      </c>
      <c r="K104" s="164">
        <f t="shared" si="33"/>
        <v>398832.96075066499</v>
      </c>
      <c r="L104" s="164">
        <v>0</v>
      </c>
      <c r="M104" s="164">
        <f t="shared" si="34"/>
        <v>1683732.9631690446</v>
      </c>
      <c r="N104" s="149">
        <v>0</v>
      </c>
      <c r="O104" s="149">
        <f t="shared" si="35"/>
        <v>1683732.9631690446</v>
      </c>
    </row>
    <row r="105" spans="1:15" ht="13.5" customHeight="1" x14ac:dyDescent="0.35">
      <c r="A105" s="170">
        <v>23003</v>
      </c>
      <c r="B105" s="170" t="s">
        <v>300</v>
      </c>
      <c r="C105" s="167">
        <v>134</v>
      </c>
      <c r="D105" s="169">
        <v>0</v>
      </c>
      <c r="E105" s="166">
        <f t="shared" si="27"/>
        <v>12</v>
      </c>
      <c r="F105" s="166">
        <f t="shared" si="28"/>
        <v>11.166666666666666</v>
      </c>
      <c r="G105" s="166">
        <f t="shared" si="29"/>
        <v>0</v>
      </c>
      <c r="H105" s="166">
        <f t="shared" si="30"/>
        <v>11.166666666666666</v>
      </c>
      <c r="I105" s="164">
        <f t="shared" si="31"/>
        <v>62752.695</v>
      </c>
      <c r="J105" s="164">
        <f t="shared" si="32"/>
        <v>700738.42749999999</v>
      </c>
      <c r="K105" s="164">
        <f t="shared" si="33"/>
        <v>217509.20789600001</v>
      </c>
      <c r="L105" s="164">
        <v>0</v>
      </c>
      <c r="M105" s="164">
        <f t="shared" si="34"/>
        <v>918247.635396</v>
      </c>
      <c r="N105" s="149">
        <v>0</v>
      </c>
      <c r="O105" s="149">
        <f t="shared" si="35"/>
        <v>918247.635396</v>
      </c>
    </row>
    <row r="106" spans="1:15" ht="13.5" customHeight="1" x14ac:dyDescent="0.35">
      <c r="A106" s="170">
        <v>65001</v>
      </c>
      <c r="B106" s="170" t="s">
        <v>373</v>
      </c>
      <c r="C106" s="167">
        <v>1371.56</v>
      </c>
      <c r="D106" s="169">
        <v>2.75</v>
      </c>
      <c r="E106" s="166">
        <f t="shared" si="27"/>
        <v>15</v>
      </c>
      <c r="F106" s="166">
        <f t="shared" ref="F106:F137" si="36">C106/E106</f>
        <v>91.437333333333328</v>
      </c>
      <c r="G106" s="166">
        <f t="shared" ref="G106:G137" si="37">D106/E106</f>
        <v>0.18333333333333332</v>
      </c>
      <c r="H106" s="166">
        <f t="shared" ref="H106:H137" si="38">F106+G106</f>
        <v>91.620666666666665</v>
      </c>
      <c r="I106" s="164">
        <f t="shared" ref="I106:I137" si="39">$I$1*1.29</f>
        <v>62752.695</v>
      </c>
      <c r="J106" s="164">
        <f t="shared" ref="J106:J137" si="40">H106*I106</f>
        <v>5749443.7510299999</v>
      </c>
      <c r="K106" s="164">
        <f t="shared" ref="K106:K137" si="41">J106*0.3104</f>
        <v>1784627.3403197119</v>
      </c>
      <c r="L106" s="164">
        <v>0</v>
      </c>
      <c r="M106" s="164">
        <f t="shared" ref="M106:M137" si="42">J106+K106+L106</f>
        <v>7534071.0913497116</v>
      </c>
      <c r="N106" s="149">
        <v>0</v>
      </c>
      <c r="O106" s="149">
        <f t="shared" si="35"/>
        <v>7534071.0913497116</v>
      </c>
    </row>
    <row r="107" spans="1:15" ht="13.5" customHeight="1" x14ac:dyDescent="0.35">
      <c r="A107" s="170">
        <v>39005</v>
      </c>
      <c r="B107" s="170" t="s">
        <v>302</v>
      </c>
      <c r="C107" s="167">
        <v>153</v>
      </c>
      <c r="D107" s="169">
        <v>4</v>
      </c>
      <c r="E107" s="166">
        <f t="shared" si="27"/>
        <v>12</v>
      </c>
      <c r="F107" s="166">
        <f t="shared" si="36"/>
        <v>12.75</v>
      </c>
      <c r="G107" s="166">
        <f t="shared" si="37"/>
        <v>0.33333333333333331</v>
      </c>
      <c r="H107" s="166">
        <f t="shared" si="38"/>
        <v>13.083333333333334</v>
      </c>
      <c r="I107" s="164">
        <f t="shared" si="39"/>
        <v>62752.695</v>
      </c>
      <c r="J107" s="164">
        <f t="shared" si="40"/>
        <v>821014.42625000002</v>
      </c>
      <c r="K107" s="164">
        <f t="shared" si="41"/>
        <v>254842.87790800002</v>
      </c>
      <c r="L107" s="164">
        <v>0</v>
      </c>
      <c r="M107" s="164">
        <f t="shared" si="42"/>
        <v>1075857.304158</v>
      </c>
      <c r="N107" s="149">
        <v>0</v>
      </c>
      <c r="O107" s="149">
        <f t="shared" si="35"/>
        <v>1075857.304158</v>
      </c>
    </row>
    <row r="108" spans="1:15" ht="13.5" customHeight="1" x14ac:dyDescent="0.35">
      <c r="A108" s="170">
        <v>60004</v>
      </c>
      <c r="B108" s="170" t="s">
        <v>303</v>
      </c>
      <c r="C108" s="167">
        <v>442</v>
      </c>
      <c r="D108" s="169">
        <v>1.5</v>
      </c>
      <c r="E108" s="166">
        <f t="shared" si="27"/>
        <v>13.815</v>
      </c>
      <c r="F108" s="166">
        <f t="shared" si="36"/>
        <v>31.994209192906261</v>
      </c>
      <c r="G108" s="166">
        <f t="shared" si="37"/>
        <v>0.10857763300760044</v>
      </c>
      <c r="H108" s="166">
        <f t="shared" si="38"/>
        <v>32.10278682591386</v>
      </c>
      <c r="I108" s="164">
        <f t="shared" si="39"/>
        <v>62752.695</v>
      </c>
      <c r="J108" s="164">
        <f t="shared" si="40"/>
        <v>2014536.3903365906</v>
      </c>
      <c r="K108" s="164">
        <f t="shared" si="41"/>
        <v>625312.0955604777</v>
      </c>
      <c r="L108" s="164">
        <v>0</v>
      </c>
      <c r="M108" s="164">
        <f t="shared" si="42"/>
        <v>2639848.4858970684</v>
      </c>
      <c r="N108" s="149">
        <v>0</v>
      </c>
      <c r="O108" s="149">
        <f t="shared" si="35"/>
        <v>2639848.4858970684</v>
      </c>
    </row>
    <row r="109" spans="1:15" ht="13.5" customHeight="1" x14ac:dyDescent="0.35">
      <c r="A109" s="170">
        <v>33003</v>
      </c>
      <c r="B109" s="170" t="s">
        <v>304</v>
      </c>
      <c r="C109" s="167">
        <v>521.03</v>
      </c>
      <c r="D109" s="169">
        <v>2.75</v>
      </c>
      <c r="E109" s="166">
        <f>(((C109-25)*0.0075)+10.5)</f>
        <v>14.220224999999999</v>
      </c>
      <c r="F109" s="166">
        <f t="shared" si="36"/>
        <v>36.640067228190837</v>
      </c>
      <c r="G109" s="166">
        <f t="shared" si="37"/>
        <v>0.19338653221028501</v>
      </c>
      <c r="H109" s="166">
        <f t="shared" si="38"/>
        <v>36.83345376040112</v>
      </c>
      <c r="I109" s="164">
        <f t="shared" si="39"/>
        <v>62752.695</v>
      </c>
      <c r="J109" s="164">
        <f t="shared" si="40"/>
        <v>2311398.4896230544</v>
      </c>
      <c r="K109" s="164">
        <f t="shared" si="41"/>
        <v>717458.09117899614</v>
      </c>
      <c r="L109" s="164">
        <v>0</v>
      </c>
      <c r="M109" s="164">
        <f t="shared" si="42"/>
        <v>3028856.5808020504</v>
      </c>
      <c r="N109" s="149">
        <v>0</v>
      </c>
      <c r="O109" s="149">
        <f t="shared" si="35"/>
        <v>3028856.5808020504</v>
      </c>
    </row>
    <row r="110" spans="1:15" ht="13.5" customHeight="1" x14ac:dyDescent="0.35">
      <c r="A110" s="170">
        <v>32002</v>
      </c>
      <c r="B110" s="170" t="s">
        <v>305</v>
      </c>
      <c r="C110" s="167">
        <v>2716.42</v>
      </c>
      <c r="D110" s="169">
        <v>1.75</v>
      </c>
      <c r="E110" s="166">
        <f>IF(C110&lt;200,12,IF(C110&gt;600,15,(C110*0.0075)+10.5))</f>
        <v>15</v>
      </c>
      <c r="F110" s="166">
        <f t="shared" si="36"/>
        <v>181.09466666666668</v>
      </c>
      <c r="G110" s="166">
        <f t="shared" si="37"/>
        <v>0.11666666666666667</v>
      </c>
      <c r="H110" s="166">
        <f t="shared" si="38"/>
        <v>181.21133333333336</v>
      </c>
      <c r="I110" s="164">
        <f t="shared" si="39"/>
        <v>62752.695</v>
      </c>
      <c r="J110" s="164">
        <f t="shared" si="40"/>
        <v>11371499.531210002</v>
      </c>
      <c r="K110" s="164">
        <f t="shared" si="41"/>
        <v>3529713.4544875845</v>
      </c>
      <c r="L110" s="164">
        <v>4419</v>
      </c>
      <c r="M110" s="164">
        <f t="shared" si="42"/>
        <v>14905631.985697586</v>
      </c>
      <c r="N110" s="149">
        <v>0</v>
      </c>
      <c r="O110" s="149">
        <f t="shared" si="35"/>
        <v>14905631.985697586</v>
      </c>
    </row>
    <row r="111" spans="1:15" ht="13.5" customHeight="1" x14ac:dyDescent="0.35">
      <c r="A111" s="170">
        <v>1001</v>
      </c>
      <c r="B111" s="170" t="s">
        <v>306</v>
      </c>
      <c r="C111" s="167">
        <v>299</v>
      </c>
      <c r="D111" s="169">
        <v>4.5</v>
      </c>
      <c r="E111" s="166">
        <f>(((C111-37))*0.0075)+10.5</f>
        <v>12.465</v>
      </c>
      <c r="F111" s="166">
        <f t="shared" si="36"/>
        <v>23.987164059366226</v>
      </c>
      <c r="G111" s="166">
        <f t="shared" si="37"/>
        <v>0.36101083032490977</v>
      </c>
      <c r="H111" s="166">
        <f t="shared" si="38"/>
        <v>24.348174889691137</v>
      </c>
      <c r="I111" s="164">
        <f t="shared" si="39"/>
        <v>62752.695</v>
      </c>
      <c r="J111" s="164">
        <f t="shared" si="40"/>
        <v>1527913.5926594466</v>
      </c>
      <c r="K111" s="164">
        <f t="shared" si="41"/>
        <v>474264.37916149228</v>
      </c>
      <c r="L111" s="164">
        <v>0</v>
      </c>
      <c r="M111" s="164">
        <f t="shared" si="42"/>
        <v>2002177.9718209389</v>
      </c>
      <c r="N111" s="149">
        <v>0</v>
      </c>
      <c r="O111" s="149">
        <f t="shared" si="35"/>
        <v>2002177.9718209389</v>
      </c>
    </row>
    <row r="112" spans="1:15" ht="13.5" customHeight="1" x14ac:dyDescent="0.35">
      <c r="A112" s="170">
        <v>11005</v>
      </c>
      <c r="B112" s="170" t="s">
        <v>307</v>
      </c>
      <c r="C112" s="167">
        <v>503.4</v>
      </c>
      <c r="D112" s="169">
        <v>2.5</v>
      </c>
      <c r="E112" s="166">
        <f t="shared" ref="E112:E143" si="43">IF(C112&lt;200,12,IF(C112&gt;600,15,(C112*0.0075)+10.5))</f>
        <v>14.275499999999999</v>
      </c>
      <c r="F112" s="166">
        <f t="shared" si="36"/>
        <v>35.263213197436166</v>
      </c>
      <c r="G112" s="166">
        <f t="shared" si="37"/>
        <v>0.17512521452838781</v>
      </c>
      <c r="H112" s="166">
        <f t="shared" si="38"/>
        <v>35.438338411964551</v>
      </c>
      <c r="I112" s="164">
        <f t="shared" si="39"/>
        <v>62752.695</v>
      </c>
      <c r="J112" s="164">
        <f t="shared" si="40"/>
        <v>2223851.2416727957</v>
      </c>
      <c r="K112" s="164">
        <f t="shared" si="41"/>
        <v>690283.4254152358</v>
      </c>
      <c r="L112" s="164">
        <v>0</v>
      </c>
      <c r="M112" s="164">
        <f t="shared" si="42"/>
        <v>2914134.6670880318</v>
      </c>
      <c r="N112" s="149">
        <v>0</v>
      </c>
      <c r="O112" s="149">
        <f t="shared" si="35"/>
        <v>2914134.6670880318</v>
      </c>
    </row>
    <row r="113" spans="1:15" ht="13.5" customHeight="1" x14ac:dyDescent="0.35">
      <c r="A113" s="170">
        <v>51004</v>
      </c>
      <c r="B113" s="170" t="s">
        <v>372</v>
      </c>
      <c r="C113" s="167">
        <v>13628.25</v>
      </c>
      <c r="D113" s="169">
        <v>17.5</v>
      </c>
      <c r="E113" s="166">
        <f t="shared" si="43"/>
        <v>15</v>
      </c>
      <c r="F113" s="166">
        <f t="shared" si="36"/>
        <v>908.55</v>
      </c>
      <c r="G113" s="166">
        <f t="shared" si="37"/>
        <v>1.1666666666666667</v>
      </c>
      <c r="H113" s="166">
        <f t="shared" si="38"/>
        <v>909.71666666666658</v>
      </c>
      <c r="I113" s="164">
        <f t="shared" si="39"/>
        <v>62752.695</v>
      </c>
      <c r="J113" s="164">
        <f t="shared" si="40"/>
        <v>57087172.519749992</v>
      </c>
      <c r="K113" s="164">
        <f t="shared" si="41"/>
        <v>17719858.350130398</v>
      </c>
      <c r="L113" s="164">
        <v>33123</v>
      </c>
      <c r="M113" s="164">
        <f t="shared" si="42"/>
        <v>74840153.869880393</v>
      </c>
      <c r="N113" s="149">
        <v>0</v>
      </c>
      <c r="O113" s="149">
        <f t="shared" si="35"/>
        <v>74840153.869880393</v>
      </c>
    </row>
    <row r="114" spans="1:15" ht="13.5" customHeight="1" x14ac:dyDescent="0.35">
      <c r="A114" s="170">
        <v>56004</v>
      </c>
      <c r="B114" s="170" t="s">
        <v>309</v>
      </c>
      <c r="C114" s="167">
        <v>592.05999999999995</v>
      </c>
      <c r="D114" s="169">
        <v>0.5</v>
      </c>
      <c r="E114" s="166">
        <f t="shared" si="43"/>
        <v>14.940449999999998</v>
      </c>
      <c r="F114" s="166">
        <f t="shared" si="36"/>
        <v>39.627989786117553</v>
      </c>
      <c r="G114" s="166">
        <f t="shared" si="37"/>
        <v>3.3466194124005637E-2</v>
      </c>
      <c r="H114" s="166">
        <f t="shared" si="38"/>
        <v>39.661455980241556</v>
      </c>
      <c r="I114" s="164">
        <f t="shared" si="39"/>
        <v>62752.695</v>
      </c>
      <c r="J114" s="164">
        <f t="shared" si="40"/>
        <v>2488863.2503840243</v>
      </c>
      <c r="K114" s="164">
        <f t="shared" si="41"/>
        <v>772543.15291920118</v>
      </c>
      <c r="L114" s="164">
        <v>0</v>
      </c>
      <c r="M114" s="164">
        <f t="shared" si="42"/>
        <v>3261406.4033032255</v>
      </c>
      <c r="N114" s="149">
        <v>0</v>
      </c>
      <c r="O114" s="149">
        <f t="shared" si="35"/>
        <v>3261406.4033032255</v>
      </c>
    </row>
    <row r="115" spans="1:15" ht="13.5" customHeight="1" x14ac:dyDescent="0.35">
      <c r="A115" s="170">
        <v>54004</v>
      </c>
      <c r="B115" s="170" t="s">
        <v>310</v>
      </c>
      <c r="C115" s="167">
        <v>244</v>
      </c>
      <c r="D115" s="169">
        <v>2.5</v>
      </c>
      <c r="E115" s="166">
        <f t="shared" si="43"/>
        <v>12.33</v>
      </c>
      <c r="F115" s="166">
        <f t="shared" si="36"/>
        <v>19.789132197891323</v>
      </c>
      <c r="G115" s="166">
        <f t="shared" si="37"/>
        <v>0.20275750202757503</v>
      </c>
      <c r="H115" s="166">
        <f t="shared" si="38"/>
        <v>19.991889699918897</v>
      </c>
      <c r="I115" s="164">
        <f t="shared" si="39"/>
        <v>62752.695</v>
      </c>
      <c r="J115" s="164">
        <f t="shared" si="40"/>
        <v>1254544.9568126521</v>
      </c>
      <c r="K115" s="164">
        <f t="shared" si="41"/>
        <v>389410.75459464721</v>
      </c>
      <c r="L115" s="164">
        <v>0</v>
      </c>
      <c r="M115" s="164">
        <f t="shared" si="42"/>
        <v>1643955.7114072992</v>
      </c>
      <c r="N115" s="149">
        <v>0</v>
      </c>
      <c r="O115" s="149">
        <f t="shared" si="35"/>
        <v>1643955.7114072992</v>
      </c>
    </row>
    <row r="116" spans="1:15" ht="13.5" customHeight="1" x14ac:dyDescent="0.35">
      <c r="A116" s="170">
        <v>39004</v>
      </c>
      <c r="B116" s="170" t="s">
        <v>311</v>
      </c>
      <c r="C116" s="167">
        <v>176</v>
      </c>
      <c r="D116" s="169">
        <v>2.75</v>
      </c>
      <c r="E116" s="166">
        <f t="shared" si="43"/>
        <v>12</v>
      </c>
      <c r="F116" s="166">
        <f t="shared" si="36"/>
        <v>14.666666666666666</v>
      </c>
      <c r="G116" s="166">
        <f t="shared" si="37"/>
        <v>0.22916666666666666</v>
      </c>
      <c r="H116" s="166">
        <f t="shared" si="38"/>
        <v>14.895833333333332</v>
      </c>
      <c r="I116" s="164">
        <f t="shared" si="39"/>
        <v>62752.695</v>
      </c>
      <c r="J116" s="164">
        <f t="shared" si="40"/>
        <v>934753.68593749998</v>
      </c>
      <c r="K116" s="164">
        <f t="shared" si="41"/>
        <v>290147.544115</v>
      </c>
      <c r="L116" s="164">
        <v>0</v>
      </c>
      <c r="M116" s="164">
        <f t="shared" si="42"/>
        <v>1224901.2300525</v>
      </c>
      <c r="N116" s="149">
        <v>0</v>
      </c>
      <c r="O116" s="149">
        <f t="shared" si="35"/>
        <v>1224901.2300525</v>
      </c>
    </row>
    <row r="117" spans="1:15" ht="13.5" customHeight="1" x14ac:dyDescent="0.35">
      <c r="A117" s="170">
        <v>55005</v>
      </c>
      <c r="B117" s="170" t="s">
        <v>312</v>
      </c>
      <c r="C117" s="167">
        <v>180</v>
      </c>
      <c r="D117" s="169">
        <v>2.5</v>
      </c>
      <c r="E117" s="166">
        <f t="shared" si="43"/>
        <v>12</v>
      </c>
      <c r="F117" s="166">
        <f t="shared" si="36"/>
        <v>15</v>
      </c>
      <c r="G117" s="166">
        <f t="shared" si="37"/>
        <v>0.20833333333333334</v>
      </c>
      <c r="H117" s="166">
        <f t="shared" si="38"/>
        <v>15.208333333333334</v>
      </c>
      <c r="I117" s="164">
        <f t="shared" si="39"/>
        <v>62752.695</v>
      </c>
      <c r="J117" s="164">
        <f t="shared" si="40"/>
        <v>954363.90312500007</v>
      </c>
      <c r="K117" s="164">
        <f t="shared" si="41"/>
        <v>296234.55553000001</v>
      </c>
      <c r="L117" s="164">
        <v>0</v>
      </c>
      <c r="M117" s="164">
        <f t="shared" si="42"/>
        <v>1250598.4586550002</v>
      </c>
      <c r="N117" s="149">
        <v>0</v>
      </c>
      <c r="O117" s="149">
        <f t="shared" si="35"/>
        <v>1250598.4586550002</v>
      </c>
    </row>
    <row r="118" spans="1:15" ht="13.5" customHeight="1" x14ac:dyDescent="0.35">
      <c r="A118" s="170">
        <v>4003</v>
      </c>
      <c r="B118" s="170" t="s">
        <v>313</v>
      </c>
      <c r="C118" s="167">
        <v>266</v>
      </c>
      <c r="D118" s="169">
        <v>0.25</v>
      </c>
      <c r="E118" s="166">
        <f t="shared" si="43"/>
        <v>12.494999999999999</v>
      </c>
      <c r="F118" s="166">
        <f t="shared" si="36"/>
        <v>21.288515406162468</v>
      </c>
      <c r="G118" s="166">
        <f t="shared" si="37"/>
        <v>2.0008003201280513E-2</v>
      </c>
      <c r="H118" s="166">
        <f t="shared" si="38"/>
        <v>21.308523409363747</v>
      </c>
      <c r="I118" s="164">
        <f t="shared" si="39"/>
        <v>62752.695</v>
      </c>
      <c r="J118" s="164">
        <f t="shared" si="40"/>
        <v>1337167.2704081633</v>
      </c>
      <c r="K118" s="164">
        <f t="shared" si="41"/>
        <v>415056.72073469392</v>
      </c>
      <c r="L118" s="164">
        <v>0</v>
      </c>
      <c r="M118" s="164">
        <f t="shared" si="42"/>
        <v>1752223.9911428574</v>
      </c>
      <c r="N118" s="149">
        <v>0</v>
      </c>
      <c r="O118" s="149">
        <f t="shared" si="35"/>
        <v>1752223.9911428574</v>
      </c>
    </row>
    <row r="119" spans="1:15" ht="13.5" customHeight="1" x14ac:dyDescent="0.35">
      <c r="A119" s="170">
        <v>62005</v>
      </c>
      <c r="B119" s="170" t="s">
        <v>371</v>
      </c>
      <c r="C119" s="167">
        <v>184</v>
      </c>
      <c r="D119" s="169">
        <v>0</v>
      </c>
      <c r="E119" s="166">
        <f t="shared" si="43"/>
        <v>12</v>
      </c>
      <c r="F119" s="166">
        <f t="shared" si="36"/>
        <v>15.333333333333334</v>
      </c>
      <c r="G119" s="166">
        <f t="shared" si="37"/>
        <v>0</v>
      </c>
      <c r="H119" s="166">
        <f t="shared" si="38"/>
        <v>15.333333333333334</v>
      </c>
      <c r="I119" s="164">
        <f t="shared" si="39"/>
        <v>62752.695</v>
      </c>
      <c r="J119" s="164">
        <f t="shared" si="40"/>
        <v>962207.99</v>
      </c>
      <c r="K119" s="164">
        <f t="shared" si="41"/>
        <v>298669.36009600002</v>
      </c>
      <c r="L119" s="164">
        <v>0</v>
      </c>
      <c r="M119" s="164">
        <f t="shared" si="42"/>
        <v>1260877.3500959999</v>
      </c>
      <c r="N119" s="149">
        <v>0</v>
      </c>
      <c r="O119" s="149">
        <f t="shared" si="35"/>
        <v>1260877.3500959999</v>
      </c>
    </row>
    <row r="120" spans="1:15" ht="13.5" customHeight="1" x14ac:dyDescent="0.35">
      <c r="A120" s="170">
        <v>49005</v>
      </c>
      <c r="B120" s="170" t="s">
        <v>315</v>
      </c>
      <c r="C120" s="167">
        <v>23924.25</v>
      </c>
      <c r="D120" s="169">
        <v>435</v>
      </c>
      <c r="E120" s="166">
        <f t="shared" si="43"/>
        <v>15</v>
      </c>
      <c r="F120" s="166">
        <f t="shared" si="36"/>
        <v>1594.95</v>
      </c>
      <c r="G120" s="166">
        <f t="shared" si="37"/>
        <v>29</v>
      </c>
      <c r="H120" s="166">
        <f t="shared" si="38"/>
        <v>1623.95</v>
      </c>
      <c r="I120" s="164">
        <f t="shared" si="39"/>
        <v>62752.695</v>
      </c>
      <c r="J120" s="164">
        <f t="shared" si="40"/>
        <v>101907239.04525</v>
      </c>
      <c r="K120" s="164">
        <f t="shared" si="41"/>
        <v>31632006.999645602</v>
      </c>
      <c r="L120" s="164">
        <v>51729</v>
      </c>
      <c r="M120" s="164">
        <f t="shared" si="42"/>
        <v>133590975.0448956</v>
      </c>
      <c r="N120" s="149">
        <v>0</v>
      </c>
      <c r="O120" s="149">
        <f t="shared" si="35"/>
        <v>133590975.0448956</v>
      </c>
    </row>
    <row r="121" spans="1:15" ht="13.5" customHeight="1" x14ac:dyDescent="0.35">
      <c r="A121" s="170">
        <v>5005</v>
      </c>
      <c r="B121" s="170" t="s">
        <v>316</v>
      </c>
      <c r="C121" s="167">
        <v>659.05</v>
      </c>
      <c r="D121" s="169">
        <v>4</v>
      </c>
      <c r="E121" s="166">
        <f t="shared" si="43"/>
        <v>15</v>
      </c>
      <c r="F121" s="166">
        <f t="shared" si="36"/>
        <v>43.93666666666666</v>
      </c>
      <c r="G121" s="166">
        <f t="shared" si="37"/>
        <v>0.26666666666666666</v>
      </c>
      <c r="H121" s="166">
        <f t="shared" si="38"/>
        <v>44.203333333333326</v>
      </c>
      <c r="I121" s="164">
        <f t="shared" si="39"/>
        <v>62752.695</v>
      </c>
      <c r="J121" s="164">
        <f t="shared" si="40"/>
        <v>2773878.2946499996</v>
      </c>
      <c r="K121" s="164">
        <f t="shared" si="41"/>
        <v>861011.8226593599</v>
      </c>
      <c r="L121" s="164">
        <v>0</v>
      </c>
      <c r="M121" s="164">
        <f t="shared" si="42"/>
        <v>3634890.1173093594</v>
      </c>
      <c r="N121" s="149">
        <v>0</v>
      </c>
      <c r="O121" s="149">
        <f t="shared" si="35"/>
        <v>3634890.1173093594</v>
      </c>
    </row>
    <row r="122" spans="1:15" ht="13.5" customHeight="1" x14ac:dyDescent="0.35">
      <c r="A122" s="170">
        <v>54002</v>
      </c>
      <c r="B122" s="170" t="s">
        <v>317</v>
      </c>
      <c r="C122" s="167">
        <v>885</v>
      </c>
      <c r="D122" s="175">
        <v>5.5</v>
      </c>
      <c r="E122" s="174">
        <f t="shared" si="43"/>
        <v>15</v>
      </c>
      <c r="F122" s="174">
        <f t="shared" si="36"/>
        <v>59</v>
      </c>
      <c r="G122" s="174">
        <f t="shared" si="37"/>
        <v>0.36666666666666664</v>
      </c>
      <c r="H122" s="174">
        <f t="shared" si="38"/>
        <v>59.366666666666667</v>
      </c>
      <c r="I122" s="173">
        <f t="shared" si="39"/>
        <v>62752.695</v>
      </c>
      <c r="J122" s="173">
        <f t="shared" si="40"/>
        <v>3725418.3265</v>
      </c>
      <c r="K122" s="173">
        <f t="shared" si="41"/>
        <v>1156369.8485456</v>
      </c>
      <c r="L122" s="173">
        <v>0</v>
      </c>
      <c r="M122" s="172">
        <f t="shared" si="42"/>
        <v>4881788.1750456002</v>
      </c>
      <c r="N122" s="149">
        <v>0</v>
      </c>
      <c r="O122" s="149">
        <f t="shared" si="35"/>
        <v>4881788.1750456002</v>
      </c>
    </row>
    <row r="123" spans="1:15" ht="13.5" customHeight="1" x14ac:dyDescent="0.35">
      <c r="A123" s="170">
        <v>15003</v>
      </c>
      <c r="B123" s="170" t="s">
        <v>318</v>
      </c>
      <c r="C123" s="167">
        <v>197</v>
      </c>
      <c r="D123" s="169">
        <v>1.75</v>
      </c>
      <c r="E123" s="166">
        <f t="shared" si="43"/>
        <v>12</v>
      </c>
      <c r="F123" s="166">
        <f t="shared" si="36"/>
        <v>16.416666666666668</v>
      </c>
      <c r="G123" s="166">
        <f t="shared" si="37"/>
        <v>0.14583333333333334</v>
      </c>
      <c r="H123" s="166">
        <f t="shared" si="38"/>
        <v>16.5625</v>
      </c>
      <c r="I123" s="164">
        <f t="shared" si="39"/>
        <v>62752.695</v>
      </c>
      <c r="J123" s="164">
        <f t="shared" si="40"/>
        <v>1039341.5109375</v>
      </c>
      <c r="K123" s="164">
        <f t="shared" si="41"/>
        <v>322611.604995</v>
      </c>
      <c r="L123" s="164">
        <v>0</v>
      </c>
      <c r="M123" s="164">
        <f t="shared" si="42"/>
        <v>1361953.1159325</v>
      </c>
      <c r="N123" s="149">
        <v>0</v>
      </c>
      <c r="O123" s="149">
        <f t="shared" si="35"/>
        <v>1361953.1159325</v>
      </c>
    </row>
    <row r="124" spans="1:15" ht="13.5" customHeight="1" x14ac:dyDescent="0.35">
      <c r="A124" s="170">
        <v>26005</v>
      </c>
      <c r="B124" s="170" t="s">
        <v>319</v>
      </c>
      <c r="C124" s="167">
        <v>98</v>
      </c>
      <c r="D124" s="169">
        <v>0</v>
      </c>
      <c r="E124" s="166">
        <f t="shared" si="43"/>
        <v>12</v>
      </c>
      <c r="F124" s="166">
        <f t="shared" si="36"/>
        <v>8.1666666666666661</v>
      </c>
      <c r="G124" s="166">
        <f t="shared" si="37"/>
        <v>0</v>
      </c>
      <c r="H124" s="166">
        <f t="shared" si="38"/>
        <v>8.1666666666666661</v>
      </c>
      <c r="I124" s="164">
        <f t="shared" si="39"/>
        <v>62752.695</v>
      </c>
      <c r="J124" s="164">
        <f t="shared" si="40"/>
        <v>512480.34249999997</v>
      </c>
      <c r="K124" s="164">
        <f t="shared" si="41"/>
        <v>159073.898312</v>
      </c>
      <c r="L124" s="164">
        <v>0</v>
      </c>
      <c r="M124" s="164">
        <f t="shared" si="42"/>
        <v>671554.240812</v>
      </c>
      <c r="N124" s="149">
        <v>0</v>
      </c>
      <c r="O124" s="149">
        <f t="shared" si="35"/>
        <v>671554.240812</v>
      </c>
    </row>
    <row r="125" spans="1:15" ht="13.5" customHeight="1" x14ac:dyDescent="0.35">
      <c r="A125" s="170">
        <v>40002</v>
      </c>
      <c r="B125" s="170" t="s">
        <v>320</v>
      </c>
      <c r="C125" s="167">
        <v>2398.14</v>
      </c>
      <c r="D125" s="169">
        <v>2.5</v>
      </c>
      <c r="E125" s="166">
        <f t="shared" si="43"/>
        <v>15</v>
      </c>
      <c r="F125" s="166">
        <f t="shared" si="36"/>
        <v>159.876</v>
      </c>
      <c r="G125" s="166">
        <f t="shared" si="37"/>
        <v>0.16666666666666666</v>
      </c>
      <c r="H125" s="166">
        <f t="shared" si="38"/>
        <v>160.04266666666666</v>
      </c>
      <c r="I125" s="164">
        <f t="shared" si="39"/>
        <v>62752.695</v>
      </c>
      <c r="J125" s="164">
        <f t="shared" si="40"/>
        <v>10043108.648319999</v>
      </c>
      <c r="K125" s="164">
        <f t="shared" si="41"/>
        <v>3117380.9244385278</v>
      </c>
      <c r="L125" s="164">
        <v>0</v>
      </c>
      <c r="M125" s="164">
        <f t="shared" si="42"/>
        <v>13160489.572758526</v>
      </c>
      <c r="N125" s="149">
        <v>0</v>
      </c>
      <c r="O125" s="149">
        <f t="shared" si="35"/>
        <v>13160489.572758526</v>
      </c>
    </row>
    <row r="126" spans="1:15" ht="13.5" customHeight="1" x14ac:dyDescent="0.35">
      <c r="A126" s="170">
        <v>57001</v>
      </c>
      <c r="B126" s="170" t="s">
        <v>321</v>
      </c>
      <c r="C126" s="167">
        <v>449</v>
      </c>
      <c r="D126" s="169">
        <v>0</v>
      </c>
      <c r="E126" s="166">
        <f t="shared" si="43"/>
        <v>13.8675</v>
      </c>
      <c r="F126" s="166">
        <f t="shared" si="36"/>
        <v>32.377861907337298</v>
      </c>
      <c r="G126" s="166">
        <f t="shared" si="37"/>
        <v>0</v>
      </c>
      <c r="H126" s="166">
        <f t="shared" si="38"/>
        <v>32.377861907337298</v>
      </c>
      <c r="I126" s="164">
        <f t="shared" si="39"/>
        <v>62752.695</v>
      </c>
      <c r="J126" s="164">
        <f t="shared" si="40"/>
        <v>2031798.0930232557</v>
      </c>
      <c r="K126" s="164">
        <f t="shared" si="41"/>
        <v>630670.12807441864</v>
      </c>
      <c r="L126" s="164">
        <v>0</v>
      </c>
      <c r="M126" s="164">
        <f t="shared" si="42"/>
        <v>2662468.2210976742</v>
      </c>
      <c r="N126" s="149">
        <v>0</v>
      </c>
      <c r="O126" s="149">
        <f t="shared" si="35"/>
        <v>2662468.2210976742</v>
      </c>
    </row>
    <row r="127" spans="1:15" ht="13.5" customHeight="1" x14ac:dyDescent="0.35">
      <c r="A127" s="170">
        <v>54006</v>
      </c>
      <c r="B127" s="170" t="s">
        <v>322</v>
      </c>
      <c r="C127" s="167">
        <v>150</v>
      </c>
      <c r="D127" s="169">
        <v>1.25</v>
      </c>
      <c r="E127" s="166">
        <f t="shared" si="43"/>
        <v>12</v>
      </c>
      <c r="F127" s="166">
        <f t="shared" si="36"/>
        <v>12.5</v>
      </c>
      <c r="G127" s="166">
        <f t="shared" si="37"/>
        <v>0.10416666666666667</v>
      </c>
      <c r="H127" s="166">
        <f t="shared" si="38"/>
        <v>12.604166666666666</v>
      </c>
      <c r="I127" s="164">
        <f t="shared" si="39"/>
        <v>62752.695</v>
      </c>
      <c r="J127" s="164">
        <f t="shared" si="40"/>
        <v>790945.42656249995</v>
      </c>
      <c r="K127" s="164">
        <f t="shared" si="41"/>
        <v>245509.46040499999</v>
      </c>
      <c r="L127" s="164">
        <v>0</v>
      </c>
      <c r="M127" s="164">
        <f t="shared" si="42"/>
        <v>1036454.8869675</v>
      </c>
      <c r="N127" s="149">
        <v>0</v>
      </c>
      <c r="O127" s="149">
        <f t="shared" si="35"/>
        <v>1036454.8869675</v>
      </c>
    </row>
    <row r="128" spans="1:15" ht="13.5" customHeight="1" x14ac:dyDescent="0.35">
      <c r="A128" s="170">
        <v>41005</v>
      </c>
      <c r="B128" s="170" t="s">
        <v>323</v>
      </c>
      <c r="C128" s="167">
        <v>1791.25</v>
      </c>
      <c r="D128" s="169">
        <v>3.25</v>
      </c>
      <c r="E128" s="166">
        <f t="shared" si="43"/>
        <v>15</v>
      </c>
      <c r="F128" s="166">
        <f t="shared" si="36"/>
        <v>119.41666666666667</v>
      </c>
      <c r="G128" s="166">
        <f t="shared" si="37"/>
        <v>0.21666666666666667</v>
      </c>
      <c r="H128" s="166">
        <f t="shared" si="38"/>
        <v>119.63333333333334</v>
      </c>
      <c r="I128" s="164">
        <f t="shared" si="39"/>
        <v>62752.695</v>
      </c>
      <c r="J128" s="164">
        <f t="shared" si="40"/>
        <v>7507314.0785000008</v>
      </c>
      <c r="K128" s="164">
        <f t="shared" si="41"/>
        <v>2330270.2899664002</v>
      </c>
      <c r="L128" s="164">
        <v>0</v>
      </c>
      <c r="M128" s="164">
        <f t="shared" si="42"/>
        <v>9837584.3684664015</v>
      </c>
      <c r="N128" s="149">
        <v>0</v>
      </c>
      <c r="O128" s="149">
        <f t="shared" si="35"/>
        <v>9837584.3684664015</v>
      </c>
    </row>
    <row r="129" spans="1:15" ht="13.5" customHeight="1" x14ac:dyDescent="0.35">
      <c r="A129" s="170">
        <v>20003</v>
      </c>
      <c r="B129" s="170" t="s">
        <v>324</v>
      </c>
      <c r="C129" s="167">
        <v>352.29</v>
      </c>
      <c r="D129" s="169">
        <v>0</v>
      </c>
      <c r="E129" s="166">
        <f t="shared" si="43"/>
        <v>13.142175</v>
      </c>
      <c r="F129" s="166">
        <f t="shared" si="36"/>
        <v>26.806065206101731</v>
      </c>
      <c r="G129" s="166">
        <f t="shared" si="37"/>
        <v>0</v>
      </c>
      <c r="H129" s="166">
        <f t="shared" si="38"/>
        <v>26.806065206101731</v>
      </c>
      <c r="I129" s="164">
        <f t="shared" si="39"/>
        <v>62752.695</v>
      </c>
      <c r="J129" s="164">
        <f t="shared" si="40"/>
        <v>1682152.834028614</v>
      </c>
      <c r="K129" s="164">
        <f t="shared" si="41"/>
        <v>522140.2396824818</v>
      </c>
      <c r="L129" s="164">
        <v>0</v>
      </c>
      <c r="M129" s="164">
        <f t="shared" si="42"/>
        <v>2204293.0737110958</v>
      </c>
      <c r="N129" s="149">
        <v>0</v>
      </c>
      <c r="O129" s="149">
        <f t="shared" si="35"/>
        <v>2204293.0737110958</v>
      </c>
    </row>
    <row r="130" spans="1:15" ht="13.5" customHeight="1" x14ac:dyDescent="0.35">
      <c r="A130" s="170">
        <v>66001</v>
      </c>
      <c r="B130" s="170" t="s">
        <v>325</v>
      </c>
      <c r="C130" s="167">
        <v>2060.3000000000002</v>
      </c>
      <c r="D130" s="169">
        <v>4</v>
      </c>
      <c r="E130" s="166">
        <f t="shared" si="43"/>
        <v>15</v>
      </c>
      <c r="F130" s="166">
        <f t="shared" si="36"/>
        <v>137.35333333333335</v>
      </c>
      <c r="G130" s="166">
        <f t="shared" si="37"/>
        <v>0.26666666666666666</v>
      </c>
      <c r="H130" s="166">
        <f t="shared" si="38"/>
        <v>137.62000000000003</v>
      </c>
      <c r="I130" s="164">
        <f t="shared" si="39"/>
        <v>62752.695</v>
      </c>
      <c r="J130" s="164">
        <f t="shared" si="40"/>
        <v>8636025.885900002</v>
      </c>
      <c r="K130" s="164">
        <f t="shared" si="41"/>
        <v>2680622.4349833606</v>
      </c>
      <c r="L130" s="164">
        <v>6425</v>
      </c>
      <c r="M130" s="164">
        <f t="shared" si="42"/>
        <v>11323073.320883363</v>
      </c>
      <c r="N130" s="149">
        <v>0</v>
      </c>
      <c r="O130" s="149">
        <f t="shared" si="35"/>
        <v>11323073.320883363</v>
      </c>
    </row>
    <row r="131" spans="1:15" ht="13.5" customHeight="1" x14ac:dyDescent="0.35">
      <c r="A131" s="170">
        <v>33005</v>
      </c>
      <c r="B131" s="170" t="s">
        <v>326</v>
      </c>
      <c r="C131" s="167">
        <v>151</v>
      </c>
      <c r="D131" s="169">
        <v>0</v>
      </c>
      <c r="E131" s="166">
        <f t="shared" si="43"/>
        <v>12</v>
      </c>
      <c r="F131" s="166">
        <f t="shared" si="36"/>
        <v>12.583333333333334</v>
      </c>
      <c r="G131" s="166">
        <f t="shared" si="37"/>
        <v>0</v>
      </c>
      <c r="H131" s="166">
        <f t="shared" si="38"/>
        <v>12.583333333333334</v>
      </c>
      <c r="I131" s="164">
        <f t="shared" si="39"/>
        <v>62752.695</v>
      </c>
      <c r="J131" s="164">
        <f t="shared" si="40"/>
        <v>789638.07874999999</v>
      </c>
      <c r="K131" s="164">
        <f t="shared" si="41"/>
        <v>245103.659644</v>
      </c>
      <c r="L131" s="164">
        <v>0</v>
      </c>
      <c r="M131" s="164">
        <f t="shared" si="42"/>
        <v>1034741.738394</v>
      </c>
      <c r="N131" s="149">
        <v>0</v>
      </c>
      <c r="O131" s="149">
        <f t="shared" ref="O131:O151" si="44">IF(N131&gt;0,N131,M131)</f>
        <v>1034741.738394</v>
      </c>
    </row>
    <row r="132" spans="1:15" ht="13.5" customHeight="1" x14ac:dyDescent="0.35">
      <c r="A132" s="170">
        <v>49006</v>
      </c>
      <c r="B132" s="170" t="s">
        <v>327</v>
      </c>
      <c r="C132" s="167">
        <v>921</v>
      </c>
      <c r="D132" s="169">
        <v>6.25</v>
      </c>
      <c r="E132" s="166">
        <f t="shared" si="43"/>
        <v>15</v>
      </c>
      <c r="F132" s="166">
        <f t="shared" si="36"/>
        <v>61.4</v>
      </c>
      <c r="G132" s="166">
        <f t="shared" si="37"/>
        <v>0.41666666666666669</v>
      </c>
      <c r="H132" s="166">
        <f t="shared" si="38"/>
        <v>61.816666666666663</v>
      </c>
      <c r="I132" s="164">
        <f t="shared" si="39"/>
        <v>62752.695</v>
      </c>
      <c r="J132" s="164">
        <f t="shared" si="40"/>
        <v>3879162.4292499996</v>
      </c>
      <c r="K132" s="164">
        <f t="shared" si="41"/>
        <v>1204092.0180392</v>
      </c>
      <c r="L132" s="164">
        <v>0</v>
      </c>
      <c r="M132" s="164">
        <f t="shared" si="42"/>
        <v>5083254.4472891996</v>
      </c>
      <c r="N132" s="149">
        <v>0</v>
      </c>
      <c r="O132" s="149">
        <f t="shared" si="44"/>
        <v>5083254.4472891996</v>
      </c>
    </row>
    <row r="133" spans="1:15" ht="13.5" customHeight="1" x14ac:dyDescent="0.35">
      <c r="A133" s="170">
        <v>13001</v>
      </c>
      <c r="B133" s="170" t="s">
        <v>328</v>
      </c>
      <c r="C133" s="167">
        <v>1219.79</v>
      </c>
      <c r="D133" s="169">
        <v>2.25</v>
      </c>
      <c r="E133" s="166">
        <f t="shared" si="43"/>
        <v>15</v>
      </c>
      <c r="F133" s="166">
        <f t="shared" si="36"/>
        <v>81.319333333333333</v>
      </c>
      <c r="G133" s="166">
        <f t="shared" si="37"/>
        <v>0.15</v>
      </c>
      <c r="H133" s="166">
        <f t="shared" si="38"/>
        <v>81.469333333333338</v>
      </c>
      <c r="I133" s="164">
        <f t="shared" si="39"/>
        <v>62752.695</v>
      </c>
      <c r="J133" s="164">
        <f t="shared" si="40"/>
        <v>5112420.22652</v>
      </c>
      <c r="K133" s="164">
        <f t="shared" si="41"/>
        <v>1586895.2383118081</v>
      </c>
      <c r="L133" s="164">
        <v>0</v>
      </c>
      <c r="M133" s="164">
        <f t="shared" si="42"/>
        <v>6699315.4648318086</v>
      </c>
      <c r="N133" s="149">
        <v>0</v>
      </c>
      <c r="O133" s="149">
        <f t="shared" si="44"/>
        <v>6699315.4648318086</v>
      </c>
    </row>
    <row r="134" spans="1:15" ht="13.5" customHeight="1" x14ac:dyDescent="0.35">
      <c r="A134" s="170">
        <v>60006</v>
      </c>
      <c r="B134" s="170" t="s">
        <v>329</v>
      </c>
      <c r="C134" s="167">
        <v>344</v>
      </c>
      <c r="D134" s="169">
        <v>3</v>
      </c>
      <c r="E134" s="166">
        <f t="shared" si="43"/>
        <v>13.08</v>
      </c>
      <c r="F134" s="166">
        <f t="shared" si="36"/>
        <v>26.299694189602448</v>
      </c>
      <c r="G134" s="166">
        <f t="shared" si="37"/>
        <v>0.2293577981651376</v>
      </c>
      <c r="H134" s="166">
        <f t="shared" si="38"/>
        <v>26.529051987767584</v>
      </c>
      <c r="I134" s="164">
        <f t="shared" si="39"/>
        <v>62752.695</v>
      </c>
      <c r="J134" s="164">
        <f t="shared" si="40"/>
        <v>1664769.5080275228</v>
      </c>
      <c r="K134" s="164">
        <f t="shared" si="41"/>
        <v>516744.4552917431</v>
      </c>
      <c r="L134" s="164">
        <v>0</v>
      </c>
      <c r="M134" s="164">
        <f t="shared" si="42"/>
        <v>2181513.9633192657</v>
      </c>
      <c r="N134" s="149">
        <v>0</v>
      </c>
      <c r="O134" s="149">
        <f t="shared" si="44"/>
        <v>2181513.9633192657</v>
      </c>
    </row>
    <row r="135" spans="1:15" ht="13.5" customHeight="1" x14ac:dyDescent="0.35">
      <c r="A135" s="170">
        <v>11004</v>
      </c>
      <c r="B135" s="170" t="s">
        <v>369</v>
      </c>
      <c r="C135" s="167">
        <v>848.99</v>
      </c>
      <c r="D135" s="169">
        <v>0.25</v>
      </c>
      <c r="E135" s="166">
        <f t="shared" si="43"/>
        <v>15</v>
      </c>
      <c r="F135" s="166">
        <f t="shared" si="36"/>
        <v>56.599333333333334</v>
      </c>
      <c r="G135" s="166">
        <f t="shared" si="37"/>
        <v>1.6666666666666666E-2</v>
      </c>
      <c r="H135" s="166">
        <f t="shared" si="38"/>
        <v>56.616</v>
      </c>
      <c r="I135" s="164">
        <f t="shared" si="39"/>
        <v>62752.695</v>
      </c>
      <c r="J135" s="164">
        <f t="shared" si="40"/>
        <v>3552806.5801200001</v>
      </c>
      <c r="K135" s="164">
        <f t="shared" si="41"/>
        <v>1102791.1624692481</v>
      </c>
      <c r="L135" s="164">
        <v>0</v>
      </c>
      <c r="M135" s="164">
        <f t="shared" si="42"/>
        <v>4655597.7425892483</v>
      </c>
      <c r="N135" s="149">
        <v>0</v>
      </c>
      <c r="O135" s="149">
        <f t="shared" si="44"/>
        <v>4655597.7425892483</v>
      </c>
    </row>
    <row r="136" spans="1:15" ht="13.5" customHeight="1" x14ac:dyDescent="0.35">
      <c r="A136" s="170">
        <v>51005</v>
      </c>
      <c r="B136" s="170" t="s">
        <v>331</v>
      </c>
      <c r="C136" s="167">
        <v>257</v>
      </c>
      <c r="D136" s="169">
        <v>0</v>
      </c>
      <c r="E136" s="166">
        <f t="shared" si="43"/>
        <v>12.4275</v>
      </c>
      <c r="F136" s="166">
        <f t="shared" si="36"/>
        <v>20.679943673305171</v>
      </c>
      <c r="G136" s="166">
        <f t="shared" si="37"/>
        <v>0</v>
      </c>
      <c r="H136" s="166">
        <f t="shared" si="38"/>
        <v>20.679943673305171</v>
      </c>
      <c r="I136" s="164">
        <f t="shared" si="39"/>
        <v>62752.695</v>
      </c>
      <c r="J136" s="164">
        <f t="shared" si="40"/>
        <v>1297722.1979480991</v>
      </c>
      <c r="K136" s="164">
        <f t="shared" si="41"/>
        <v>402812.97024308995</v>
      </c>
      <c r="L136" s="164">
        <v>0</v>
      </c>
      <c r="M136" s="164">
        <f t="shared" si="42"/>
        <v>1700535.1681911889</v>
      </c>
      <c r="N136" s="149">
        <v>0</v>
      </c>
      <c r="O136" s="149">
        <f t="shared" si="44"/>
        <v>1700535.1681911889</v>
      </c>
    </row>
    <row r="137" spans="1:15" ht="13.5" customHeight="1" x14ac:dyDescent="0.35">
      <c r="A137" s="170">
        <v>6005</v>
      </c>
      <c r="B137" s="170" t="s">
        <v>332</v>
      </c>
      <c r="C137" s="167">
        <v>313</v>
      </c>
      <c r="D137" s="169">
        <v>0</v>
      </c>
      <c r="E137" s="166">
        <f t="shared" si="43"/>
        <v>12.8475</v>
      </c>
      <c r="F137" s="166">
        <f t="shared" si="36"/>
        <v>24.362716481805798</v>
      </c>
      <c r="G137" s="166">
        <f t="shared" si="37"/>
        <v>0</v>
      </c>
      <c r="H137" s="166">
        <f t="shared" si="38"/>
        <v>24.362716481805798</v>
      </c>
      <c r="I137" s="164">
        <f t="shared" si="39"/>
        <v>62752.695</v>
      </c>
      <c r="J137" s="164">
        <f t="shared" si="40"/>
        <v>1528826.1167542322</v>
      </c>
      <c r="K137" s="164">
        <f t="shared" si="41"/>
        <v>474547.62664051371</v>
      </c>
      <c r="L137" s="164">
        <v>0</v>
      </c>
      <c r="M137" s="164">
        <f t="shared" si="42"/>
        <v>2003373.743394746</v>
      </c>
      <c r="N137" s="149">
        <v>0</v>
      </c>
      <c r="O137" s="149">
        <f t="shared" si="44"/>
        <v>2003373.743394746</v>
      </c>
    </row>
    <row r="138" spans="1:15" ht="13.5" customHeight="1" x14ac:dyDescent="0.35">
      <c r="A138" s="170">
        <v>14004</v>
      </c>
      <c r="B138" s="170" t="s">
        <v>333</v>
      </c>
      <c r="C138" s="167">
        <v>3930.72</v>
      </c>
      <c r="D138" s="169">
        <v>6.75</v>
      </c>
      <c r="E138" s="166">
        <f t="shared" si="43"/>
        <v>15</v>
      </c>
      <c r="F138" s="166">
        <f t="shared" ref="F138:F143" si="45">C138/E138</f>
        <v>262.048</v>
      </c>
      <c r="G138" s="166">
        <f t="shared" ref="G138:G143" si="46">D138/E138</f>
        <v>0.45</v>
      </c>
      <c r="H138" s="166">
        <f t="shared" ref="H138:H143" si="47">F138+G138</f>
        <v>262.49799999999999</v>
      </c>
      <c r="I138" s="164">
        <f t="shared" ref="I138:I143" si="48">$I$1*1.29</f>
        <v>62752.695</v>
      </c>
      <c r="J138" s="164">
        <f t="shared" ref="J138:J143" si="49">H138*I138</f>
        <v>16472456.932109999</v>
      </c>
      <c r="K138" s="164">
        <f t="shared" ref="K138:K143" si="50">J138*0.3104</f>
        <v>5113050.6317269439</v>
      </c>
      <c r="L138" s="164">
        <v>0</v>
      </c>
      <c r="M138" s="164">
        <f t="shared" ref="M138:M143" si="51">J138+K138+L138</f>
        <v>21585507.563836943</v>
      </c>
      <c r="N138" s="149">
        <v>0</v>
      </c>
      <c r="O138" s="149">
        <f t="shared" si="44"/>
        <v>21585507.563836943</v>
      </c>
    </row>
    <row r="139" spans="1:15" ht="13.5" customHeight="1" x14ac:dyDescent="0.35">
      <c r="A139" s="170">
        <v>18003</v>
      </c>
      <c r="B139" s="170" t="s">
        <v>334</v>
      </c>
      <c r="C139" s="167">
        <v>169</v>
      </c>
      <c r="D139" s="169">
        <v>0</v>
      </c>
      <c r="E139" s="166">
        <f t="shared" si="43"/>
        <v>12</v>
      </c>
      <c r="F139" s="166">
        <f t="shared" si="45"/>
        <v>14.083333333333334</v>
      </c>
      <c r="G139" s="166">
        <f t="shared" si="46"/>
        <v>0</v>
      </c>
      <c r="H139" s="166">
        <f t="shared" si="47"/>
        <v>14.083333333333334</v>
      </c>
      <c r="I139" s="164">
        <f t="shared" si="48"/>
        <v>62752.695</v>
      </c>
      <c r="J139" s="164">
        <f t="shared" si="49"/>
        <v>883767.12125000008</v>
      </c>
      <c r="K139" s="164">
        <f t="shared" si="50"/>
        <v>274321.31443600002</v>
      </c>
      <c r="L139" s="164">
        <v>0</v>
      </c>
      <c r="M139" s="164">
        <f t="shared" si="51"/>
        <v>1158088.4356860002</v>
      </c>
      <c r="N139" s="149">
        <v>0</v>
      </c>
      <c r="O139" s="149">
        <f t="shared" si="44"/>
        <v>1158088.4356860002</v>
      </c>
    </row>
    <row r="140" spans="1:15" ht="13.5" customHeight="1" x14ac:dyDescent="0.35">
      <c r="A140" s="170">
        <v>14005</v>
      </c>
      <c r="B140" s="170" t="s">
        <v>335</v>
      </c>
      <c r="C140" s="167">
        <v>246</v>
      </c>
      <c r="D140" s="169">
        <v>0</v>
      </c>
      <c r="E140" s="166">
        <f t="shared" si="43"/>
        <v>12.345000000000001</v>
      </c>
      <c r="F140" s="166">
        <f t="shared" si="45"/>
        <v>19.927095990279465</v>
      </c>
      <c r="G140" s="166">
        <f t="shared" si="46"/>
        <v>0</v>
      </c>
      <c r="H140" s="166">
        <f t="shared" si="47"/>
        <v>19.927095990279465</v>
      </c>
      <c r="I140" s="164">
        <f t="shared" si="48"/>
        <v>62752.695</v>
      </c>
      <c r="J140" s="164">
        <f t="shared" si="49"/>
        <v>1250478.9769137301</v>
      </c>
      <c r="K140" s="164">
        <f t="shared" si="50"/>
        <v>388148.67443402187</v>
      </c>
      <c r="L140" s="164">
        <v>0</v>
      </c>
      <c r="M140" s="164">
        <f t="shared" si="51"/>
        <v>1638627.651347752</v>
      </c>
      <c r="N140" s="149">
        <v>0</v>
      </c>
      <c r="O140" s="149">
        <f t="shared" si="44"/>
        <v>1638627.651347752</v>
      </c>
    </row>
    <row r="141" spans="1:15" ht="13.5" customHeight="1" x14ac:dyDescent="0.35">
      <c r="A141" s="170">
        <v>18005</v>
      </c>
      <c r="B141" s="170" t="s">
        <v>336</v>
      </c>
      <c r="C141" s="167">
        <v>537</v>
      </c>
      <c r="D141" s="169">
        <v>0</v>
      </c>
      <c r="E141" s="166">
        <f t="shared" si="43"/>
        <v>14.5275</v>
      </c>
      <c r="F141" s="166">
        <f t="shared" si="45"/>
        <v>36.964377903975219</v>
      </c>
      <c r="G141" s="166">
        <f t="shared" si="46"/>
        <v>0</v>
      </c>
      <c r="H141" s="166">
        <f t="shared" si="47"/>
        <v>36.964377903975219</v>
      </c>
      <c r="I141" s="164">
        <f t="shared" si="48"/>
        <v>62752.695</v>
      </c>
      <c r="J141" s="164">
        <f t="shared" si="49"/>
        <v>2319614.3324728962</v>
      </c>
      <c r="K141" s="164">
        <f t="shared" si="50"/>
        <v>720008.28879958706</v>
      </c>
      <c r="L141" s="164">
        <v>0</v>
      </c>
      <c r="M141" s="164">
        <f t="shared" si="51"/>
        <v>3039622.6212724834</v>
      </c>
      <c r="N141" s="149">
        <v>0</v>
      </c>
      <c r="O141" s="149">
        <f t="shared" si="44"/>
        <v>3039622.6212724834</v>
      </c>
    </row>
    <row r="142" spans="1:15" ht="13.5" customHeight="1" x14ac:dyDescent="0.35">
      <c r="A142" s="170">
        <v>36002</v>
      </c>
      <c r="B142" s="170" t="s">
        <v>337</v>
      </c>
      <c r="C142" s="167">
        <v>332</v>
      </c>
      <c r="D142" s="169">
        <v>5</v>
      </c>
      <c r="E142" s="166">
        <f t="shared" si="43"/>
        <v>12.99</v>
      </c>
      <c r="F142" s="166">
        <f t="shared" si="45"/>
        <v>25.558121632024633</v>
      </c>
      <c r="G142" s="166">
        <f t="shared" si="46"/>
        <v>0.38491147036181678</v>
      </c>
      <c r="H142" s="166">
        <f t="shared" si="47"/>
        <v>25.943033102386451</v>
      </c>
      <c r="I142" s="164">
        <f t="shared" si="48"/>
        <v>62752.695</v>
      </c>
      <c r="J142" s="164">
        <f t="shared" si="49"/>
        <v>1627995.2436489607</v>
      </c>
      <c r="K142" s="164">
        <f t="shared" si="50"/>
        <v>505329.72362863744</v>
      </c>
      <c r="L142" s="164">
        <v>0</v>
      </c>
      <c r="M142" s="164">
        <f t="shared" si="51"/>
        <v>2133324.9672775981</v>
      </c>
      <c r="N142" s="149">
        <v>0</v>
      </c>
      <c r="O142" s="149">
        <f t="shared" si="44"/>
        <v>2133324.9672775981</v>
      </c>
    </row>
    <row r="143" spans="1:15" ht="13.5" customHeight="1" x14ac:dyDescent="0.35">
      <c r="A143" s="170">
        <v>49007</v>
      </c>
      <c r="B143" s="170" t="s">
        <v>338</v>
      </c>
      <c r="C143" s="167">
        <v>1364.2</v>
      </c>
      <c r="D143" s="169">
        <v>1</v>
      </c>
      <c r="E143" s="166">
        <f t="shared" si="43"/>
        <v>15</v>
      </c>
      <c r="F143" s="166">
        <f t="shared" si="45"/>
        <v>90.946666666666673</v>
      </c>
      <c r="G143" s="166">
        <f t="shared" si="46"/>
        <v>6.6666666666666666E-2</v>
      </c>
      <c r="H143" s="166">
        <f t="shared" si="47"/>
        <v>91.013333333333335</v>
      </c>
      <c r="I143" s="164">
        <f t="shared" si="48"/>
        <v>62752.695</v>
      </c>
      <c r="J143" s="164">
        <f t="shared" si="49"/>
        <v>5711331.9476000005</v>
      </c>
      <c r="K143" s="164">
        <f t="shared" si="50"/>
        <v>1772797.4365350401</v>
      </c>
      <c r="L143" s="164">
        <v>0</v>
      </c>
      <c r="M143" s="164">
        <f t="shared" si="51"/>
        <v>7484129.3841350405</v>
      </c>
      <c r="N143" s="149">
        <v>0</v>
      </c>
      <c r="O143" s="149">
        <f t="shared" si="44"/>
        <v>7484129.3841350405</v>
      </c>
    </row>
    <row r="144" spans="1:15" ht="13.5" customHeight="1" x14ac:dyDescent="0.35">
      <c r="A144" s="170">
        <v>1003</v>
      </c>
      <c r="B144" s="170" t="s">
        <v>339</v>
      </c>
      <c r="C144" s="167">
        <v>116</v>
      </c>
      <c r="D144" s="216" t="s">
        <v>422</v>
      </c>
      <c r="E144" s="217"/>
      <c r="F144" s="217"/>
      <c r="G144" s="217"/>
      <c r="H144" s="217"/>
      <c r="I144" s="217"/>
      <c r="J144" s="217"/>
      <c r="K144" s="217"/>
      <c r="L144" s="217"/>
      <c r="M144" s="218"/>
      <c r="N144" s="149">
        <v>926292.50109090912</v>
      </c>
      <c r="O144" s="149">
        <f t="shared" si="44"/>
        <v>926292.50109090912</v>
      </c>
    </row>
    <row r="145" spans="1:15" ht="13.5" customHeight="1" x14ac:dyDescent="0.35">
      <c r="A145" s="170">
        <v>47001</v>
      </c>
      <c r="B145" s="170" t="s">
        <v>340</v>
      </c>
      <c r="C145" s="167">
        <v>404</v>
      </c>
      <c r="D145" s="169">
        <v>0.5</v>
      </c>
      <c r="E145" s="166">
        <f t="shared" ref="E145:E151" si="52">IF(C145&lt;200,12,IF(C145&gt;600,15,(C145*0.0075)+10.5))</f>
        <v>13.53</v>
      </c>
      <c r="F145" s="166">
        <f t="shared" ref="F145:F151" si="53">C145/E145</f>
        <v>29.859571322985957</v>
      </c>
      <c r="G145" s="166">
        <f t="shared" ref="G145:G151" si="54">D145/E145</f>
        <v>3.6954915003695493E-2</v>
      </c>
      <c r="H145" s="166">
        <f t="shared" ref="H145:H151" si="55">F145+G145</f>
        <v>29.896526237989651</v>
      </c>
      <c r="I145" s="164">
        <f t="shared" ref="I145:I151" si="56">$I$1*1.29</f>
        <v>62752.695</v>
      </c>
      <c r="J145" s="164">
        <f t="shared" ref="J145:J151" si="57">H145*I145</f>
        <v>1876087.592572062</v>
      </c>
      <c r="K145" s="164">
        <f t="shared" ref="K145:K151" si="58">J145*0.3104</f>
        <v>582337.5887343681</v>
      </c>
      <c r="L145" s="164">
        <v>0</v>
      </c>
      <c r="M145" s="164">
        <f t="shared" ref="M145:M151" si="59">J145+K145+L145</f>
        <v>2458425.1813064301</v>
      </c>
      <c r="N145" s="149">
        <v>0</v>
      </c>
      <c r="O145" s="149">
        <f t="shared" si="44"/>
        <v>2458425.1813064301</v>
      </c>
    </row>
    <row r="146" spans="1:15" ht="13.5" customHeight="1" x14ac:dyDescent="0.35">
      <c r="A146" s="170">
        <v>12003</v>
      </c>
      <c r="B146" s="170" t="s">
        <v>341</v>
      </c>
      <c r="C146" s="167">
        <v>237</v>
      </c>
      <c r="D146" s="169">
        <v>7</v>
      </c>
      <c r="E146" s="166">
        <f t="shared" si="52"/>
        <v>12.2775</v>
      </c>
      <c r="F146" s="166">
        <f t="shared" si="53"/>
        <v>19.303604153940135</v>
      </c>
      <c r="G146" s="166">
        <f t="shared" si="54"/>
        <v>0.57014864589696601</v>
      </c>
      <c r="H146" s="166">
        <f t="shared" si="55"/>
        <v>19.873752799837103</v>
      </c>
      <c r="I146" s="164">
        <f t="shared" si="56"/>
        <v>62752.695</v>
      </c>
      <c r="J146" s="164">
        <f t="shared" si="57"/>
        <v>1247131.5479535738</v>
      </c>
      <c r="K146" s="164">
        <f t="shared" si="58"/>
        <v>387109.6324847893</v>
      </c>
      <c r="L146" s="164">
        <v>0</v>
      </c>
      <c r="M146" s="164">
        <f t="shared" si="59"/>
        <v>1634241.180438363</v>
      </c>
      <c r="N146" s="149">
        <v>0</v>
      </c>
      <c r="O146" s="149">
        <f t="shared" si="44"/>
        <v>1634241.180438363</v>
      </c>
    </row>
    <row r="147" spans="1:15" ht="13.5" customHeight="1" x14ac:dyDescent="0.35">
      <c r="A147" s="170">
        <v>54007</v>
      </c>
      <c r="B147" s="170" t="s">
        <v>342</v>
      </c>
      <c r="C147" s="167">
        <v>222</v>
      </c>
      <c r="D147" s="169">
        <v>0</v>
      </c>
      <c r="E147" s="166">
        <f t="shared" si="52"/>
        <v>12.164999999999999</v>
      </c>
      <c r="F147" s="166">
        <f t="shared" si="53"/>
        <v>18.249075215782984</v>
      </c>
      <c r="G147" s="166">
        <f t="shared" si="54"/>
        <v>0</v>
      </c>
      <c r="H147" s="166">
        <f t="shared" si="55"/>
        <v>18.249075215782984</v>
      </c>
      <c r="I147" s="164">
        <f t="shared" si="56"/>
        <v>62752.695</v>
      </c>
      <c r="J147" s="164">
        <f t="shared" si="57"/>
        <v>1145178.6510480887</v>
      </c>
      <c r="K147" s="164">
        <f t="shared" si="58"/>
        <v>355463.45328532672</v>
      </c>
      <c r="L147" s="164">
        <v>0</v>
      </c>
      <c r="M147" s="164">
        <f t="shared" si="59"/>
        <v>1500642.1043334154</v>
      </c>
      <c r="N147" s="149">
        <v>0</v>
      </c>
      <c r="O147" s="149">
        <f t="shared" si="44"/>
        <v>1500642.1043334154</v>
      </c>
    </row>
    <row r="148" spans="1:15" ht="13.5" customHeight="1" x14ac:dyDescent="0.35">
      <c r="A148" s="170">
        <v>59002</v>
      </c>
      <c r="B148" s="170" t="s">
        <v>343</v>
      </c>
      <c r="C148" s="167">
        <v>723</v>
      </c>
      <c r="D148" s="169">
        <v>0.25</v>
      </c>
      <c r="E148" s="166">
        <f t="shared" si="52"/>
        <v>15</v>
      </c>
      <c r="F148" s="166">
        <f t="shared" si="53"/>
        <v>48.2</v>
      </c>
      <c r="G148" s="166">
        <f t="shared" si="54"/>
        <v>1.6666666666666666E-2</v>
      </c>
      <c r="H148" s="166">
        <f t="shared" si="55"/>
        <v>48.216666666666669</v>
      </c>
      <c r="I148" s="164">
        <f t="shared" si="56"/>
        <v>62752.695</v>
      </c>
      <c r="J148" s="164">
        <f t="shared" si="57"/>
        <v>3025725.7772500003</v>
      </c>
      <c r="K148" s="164">
        <f t="shared" si="58"/>
        <v>939185.28125840006</v>
      </c>
      <c r="L148" s="164">
        <v>0</v>
      </c>
      <c r="M148" s="164">
        <f t="shared" si="59"/>
        <v>3964911.0585084003</v>
      </c>
      <c r="N148" s="149">
        <v>0</v>
      </c>
      <c r="O148" s="149">
        <f t="shared" si="44"/>
        <v>3964911.0585084003</v>
      </c>
    </row>
    <row r="149" spans="1:15" ht="13.5" customHeight="1" x14ac:dyDescent="0.35">
      <c r="A149" s="171">
        <v>2006</v>
      </c>
      <c r="B149" s="170" t="s">
        <v>344</v>
      </c>
      <c r="C149" s="167">
        <v>362</v>
      </c>
      <c r="D149" s="169">
        <v>0.75</v>
      </c>
      <c r="E149" s="166">
        <f t="shared" si="52"/>
        <v>13.215</v>
      </c>
      <c r="F149" s="166">
        <f t="shared" si="53"/>
        <v>27.393113885735907</v>
      </c>
      <c r="G149" s="166">
        <f t="shared" si="54"/>
        <v>5.6753688989784334E-2</v>
      </c>
      <c r="H149" s="166">
        <f t="shared" si="55"/>
        <v>27.44986757472569</v>
      </c>
      <c r="I149" s="164">
        <f t="shared" si="56"/>
        <v>62752.695</v>
      </c>
      <c r="J149" s="164">
        <f t="shared" si="57"/>
        <v>1722553.167707151</v>
      </c>
      <c r="K149" s="164">
        <f t="shared" si="58"/>
        <v>534680.50325629965</v>
      </c>
      <c r="L149" s="164">
        <v>0</v>
      </c>
      <c r="M149" s="164">
        <f t="shared" si="59"/>
        <v>2257233.6709634508</v>
      </c>
      <c r="N149" s="149">
        <v>0</v>
      </c>
      <c r="O149" s="149">
        <f t="shared" si="44"/>
        <v>2257233.6709634508</v>
      </c>
    </row>
    <row r="150" spans="1:15" ht="13.5" customHeight="1" x14ac:dyDescent="0.35">
      <c r="A150" s="170">
        <v>55004</v>
      </c>
      <c r="B150" s="170" t="s">
        <v>345</v>
      </c>
      <c r="C150" s="167">
        <v>233</v>
      </c>
      <c r="D150" s="169">
        <v>0.75</v>
      </c>
      <c r="E150" s="166">
        <f t="shared" si="52"/>
        <v>12.2475</v>
      </c>
      <c r="F150" s="166">
        <f t="shared" si="53"/>
        <v>19.024290671565623</v>
      </c>
      <c r="G150" s="166">
        <f t="shared" si="54"/>
        <v>6.12369871402327E-2</v>
      </c>
      <c r="H150" s="166">
        <f t="shared" si="55"/>
        <v>19.085527658705857</v>
      </c>
      <c r="I150" s="164">
        <f t="shared" si="56"/>
        <v>62752.695</v>
      </c>
      <c r="J150" s="164">
        <f t="shared" si="57"/>
        <v>1197668.2960808328</v>
      </c>
      <c r="K150" s="164">
        <f t="shared" si="58"/>
        <v>371756.23910349054</v>
      </c>
      <c r="L150" s="164">
        <v>0</v>
      </c>
      <c r="M150" s="164">
        <f t="shared" si="59"/>
        <v>1569424.5351843233</v>
      </c>
      <c r="N150" s="149">
        <v>0</v>
      </c>
      <c r="O150" s="149">
        <f t="shared" si="44"/>
        <v>1569424.5351843233</v>
      </c>
    </row>
    <row r="151" spans="1:15" ht="13.5" customHeight="1" x14ac:dyDescent="0.35">
      <c r="A151" s="170">
        <v>63003</v>
      </c>
      <c r="B151" s="170" t="s">
        <v>346</v>
      </c>
      <c r="C151" s="167">
        <v>2723.12</v>
      </c>
      <c r="D151" s="169">
        <v>12.25</v>
      </c>
      <c r="E151" s="166">
        <f t="shared" si="52"/>
        <v>15</v>
      </c>
      <c r="F151" s="166">
        <f t="shared" si="53"/>
        <v>181.54133333333331</v>
      </c>
      <c r="G151" s="166">
        <f t="shared" si="54"/>
        <v>0.81666666666666665</v>
      </c>
      <c r="H151" s="166">
        <f t="shared" si="55"/>
        <v>182.35799999999998</v>
      </c>
      <c r="I151" s="164">
        <f t="shared" si="56"/>
        <v>62752.695</v>
      </c>
      <c r="J151" s="164">
        <f t="shared" si="57"/>
        <v>11443455.954809999</v>
      </c>
      <c r="K151" s="164">
        <f t="shared" si="58"/>
        <v>3552048.7283730237</v>
      </c>
      <c r="L151" s="164">
        <v>0</v>
      </c>
      <c r="M151" s="164">
        <f t="shared" si="59"/>
        <v>14995504.683183022</v>
      </c>
      <c r="N151" s="149">
        <v>0</v>
      </c>
      <c r="O151" s="149">
        <f t="shared" si="44"/>
        <v>14995504.683183022</v>
      </c>
    </row>
    <row r="152" spans="1:15" x14ac:dyDescent="0.35">
      <c r="A152" s="168"/>
      <c r="B152" s="168"/>
      <c r="C152" s="167">
        <f>SUM(C3:C151)</f>
        <v>134186.33999999997</v>
      </c>
      <c r="D152" s="167">
        <f>SUM(D3:D151)</f>
        <v>934.25</v>
      </c>
      <c r="E152" s="165"/>
      <c r="F152" s="166">
        <f>SUM(F3:F151)</f>
        <v>9229.1514206441934</v>
      </c>
      <c r="G152" s="165"/>
      <c r="H152" s="166">
        <f>SUM(H3:H151)</f>
        <v>9293.1587773792289</v>
      </c>
      <c r="I152" s="164"/>
      <c r="J152" s="165"/>
      <c r="K152" s="165"/>
      <c r="L152" s="164">
        <f>SUM(L3:L151)</f>
        <v>123337</v>
      </c>
      <c r="M152" s="164">
        <f>SUM(M3:M151)</f>
        <v>764310298.73325872</v>
      </c>
      <c r="N152" s="149">
        <f>SUM(N3:N151)</f>
        <v>3202801.9671221189</v>
      </c>
      <c r="O152" s="149">
        <f>SUM(O3:O151)</f>
        <v>767513100.7003808</v>
      </c>
    </row>
    <row r="153" spans="1:15" ht="16.5" thickBot="1" x14ac:dyDescent="0.4">
      <c r="A153" s="163"/>
      <c r="B153" s="163"/>
      <c r="C153" s="153"/>
    </row>
    <row r="154" spans="1:15" s="155" customFormat="1" ht="17.25" thickTop="1" thickBot="1" x14ac:dyDescent="0.4">
      <c r="A154" s="162" t="s">
        <v>187</v>
      </c>
      <c r="B154" s="161" t="s">
        <v>368</v>
      </c>
      <c r="C154" s="160">
        <v>78</v>
      </c>
      <c r="D154" s="159">
        <v>0</v>
      </c>
      <c r="E154" s="158">
        <f>IF(C154&lt;200,12,IF(C154&gt;600,15,(C154*0.0075)+10.5))</f>
        <v>12</v>
      </c>
      <c r="F154" s="158">
        <f>C154/E154</f>
        <v>6.5</v>
      </c>
      <c r="G154" s="158">
        <f>D154/E154</f>
        <v>0</v>
      </c>
      <c r="H154" s="158">
        <f>F154+G154</f>
        <v>6.5</v>
      </c>
      <c r="I154" s="157">
        <f>$I$1*1.29</f>
        <v>62752.695</v>
      </c>
      <c r="J154" s="157">
        <f>H154*I154</f>
        <v>407892.51750000002</v>
      </c>
      <c r="K154" s="157">
        <f>J154*0.3104</f>
        <v>126609.83743200001</v>
      </c>
      <c r="L154" s="157">
        <v>0</v>
      </c>
      <c r="M154" s="157">
        <f>J154+K154</f>
        <v>534502.35493200005</v>
      </c>
      <c r="N154" s="156">
        <v>0</v>
      </c>
      <c r="O154" s="156">
        <f>IF(N154&gt;0,N154,M154)</f>
        <v>534502.35493200005</v>
      </c>
    </row>
    <row r="155" spans="1:15" ht="16.5" thickTop="1" x14ac:dyDescent="0.35"/>
    <row r="156" spans="1:15" x14ac:dyDescent="0.35">
      <c r="C156" s="154"/>
    </row>
    <row r="157" spans="1:15" x14ac:dyDescent="0.35">
      <c r="C157" s="153"/>
    </row>
  </sheetData>
  <mergeCells count="1">
    <mergeCell ref="A1:B1"/>
  </mergeCells>
  <printOptions gridLines="1"/>
  <pageMargins left="0.25" right="0.25" top="0.39" bottom="0.45" header="0.17" footer="0.16"/>
  <pageSetup scale="76" fitToHeight="0" orientation="landscape" cellComments="asDisplayed" r:id="rId1"/>
  <headerFooter alignWithMargins="0">
    <oddHeader xml:space="preserve">&amp;C&amp;"Arial Unicode MS,Regular"&amp;12FY2018 District Need Calculation&amp;"Lucida Sans Unicode,Regular"&amp;14
</oddHeader>
    <oddFooter>&amp;R&amp;"Arial Unicode MS,Regular"&amp;8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0F35-8D5C-4BFF-BC94-A60AA87C488E}">
  <sheetPr codeName="Sheet7"/>
  <dimension ref="A1:K158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I29" sqref="I29"/>
    </sheetView>
  </sheetViews>
  <sheetFormatPr defaultColWidth="9.140625" defaultRowHeight="15.75" x14ac:dyDescent="0.35"/>
  <cols>
    <col min="1" max="1" width="9.85546875" style="50" customWidth="1"/>
    <col min="2" max="2" width="24" style="50" customWidth="1"/>
    <col min="3" max="3" width="11.7109375" style="49" bestFit="1" customWidth="1"/>
    <col min="4" max="4" width="13.85546875" style="48" customWidth="1"/>
    <col min="5" max="5" width="15" style="48" customWidth="1"/>
    <col min="6" max="6" width="11.7109375" style="46" customWidth="1"/>
    <col min="7" max="7" width="12.7109375" style="46" customWidth="1"/>
    <col min="8" max="8" width="11.5703125" style="47" customWidth="1"/>
    <col min="9" max="9" width="12.85546875" style="46" customWidth="1"/>
    <col min="10" max="10" width="13.28515625" style="46" customWidth="1"/>
    <col min="11" max="11" width="19" style="46" customWidth="1"/>
    <col min="12" max="16384" width="9.140625" style="46"/>
  </cols>
  <sheetData>
    <row r="1" spans="1:11" s="78" customFormat="1" ht="63" x14ac:dyDescent="0.35">
      <c r="A1" s="82" t="s">
        <v>387</v>
      </c>
      <c r="B1" s="81" t="s">
        <v>190</v>
      </c>
      <c r="C1" s="81" t="s">
        <v>386</v>
      </c>
      <c r="D1" s="80" t="s">
        <v>385</v>
      </c>
      <c r="E1" s="80" t="s">
        <v>384</v>
      </c>
      <c r="F1" s="80" t="s">
        <v>383</v>
      </c>
      <c r="G1" s="79" t="s">
        <v>382</v>
      </c>
      <c r="H1" s="80" t="s">
        <v>381</v>
      </c>
      <c r="I1" s="80" t="s">
        <v>380</v>
      </c>
      <c r="J1" s="79" t="s">
        <v>379</v>
      </c>
      <c r="K1" s="79" t="s">
        <v>378</v>
      </c>
    </row>
    <row r="2" spans="1:11" x14ac:dyDescent="0.35">
      <c r="A2" s="70">
        <v>6001</v>
      </c>
      <c r="B2" s="70" t="s">
        <v>198</v>
      </c>
      <c r="C2" s="67">
        <v>24952532.59807102</v>
      </c>
      <c r="D2" s="65">
        <v>0</v>
      </c>
      <c r="E2" s="65">
        <v>5008553</v>
      </c>
      <c r="F2" s="66"/>
      <c r="G2" s="69">
        <f t="shared" ref="G2:G33" si="0">IF((0.5*C2)-(0.5*D2)-E2+F2&lt;0,0,ROUND((0.5*C2)-(0.5*D2)-E2+F2,0))</f>
        <v>7467713</v>
      </c>
      <c r="H2" s="65">
        <v>4726089</v>
      </c>
      <c r="I2" s="66"/>
      <c r="J2" s="69">
        <f t="shared" ref="J2:J33" si="1">IF((0.5*C2)-(0.5*D2)-H2+I2&lt;0,0,ROUND((0.5*C2)-(0.5*D2)-H2+I2,0))</f>
        <v>7750177</v>
      </c>
      <c r="K2" s="65">
        <f t="shared" ref="K2:K33" si="2">G2+J2</f>
        <v>15217890</v>
      </c>
    </row>
    <row r="3" spans="1:11" ht="13.5" customHeight="1" x14ac:dyDescent="0.35">
      <c r="A3" s="70">
        <v>58003</v>
      </c>
      <c r="B3" s="70" t="s">
        <v>199</v>
      </c>
      <c r="C3" s="67">
        <v>1675902.1982954412</v>
      </c>
      <c r="D3" s="65">
        <v>0</v>
      </c>
      <c r="E3" s="65">
        <v>1225338</v>
      </c>
      <c r="F3" s="66"/>
      <c r="G3" s="69">
        <f t="shared" si="0"/>
        <v>0</v>
      </c>
      <c r="H3" s="65">
        <v>1140659</v>
      </c>
      <c r="I3" s="66"/>
      <c r="J3" s="69">
        <f t="shared" si="1"/>
        <v>0</v>
      </c>
      <c r="K3" s="65">
        <f t="shared" si="2"/>
        <v>0</v>
      </c>
    </row>
    <row r="4" spans="1:11" ht="13.5" customHeight="1" x14ac:dyDescent="0.35">
      <c r="A4" s="70">
        <v>61001</v>
      </c>
      <c r="B4" s="70" t="s">
        <v>200</v>
      </c>
      <c r="C4" s="67">
        <v>1990672.8927459454</v>
      </c>
      <c r="D4" s="65">
        <v>0</v>
      </c>
      <c r="E4" s="65">
        <v>451231</v>
      </c>
      <c r="F4" s="66"/>
      <c r="G4" s="69">
        <f t="shared" si="0"/>
        <v>544105</v>
      </c>
      <c r="H4" s="65">
        <v>444546</v>
      </c>
      <c r="I4" s="66"/>
      <c r="J4" s="69">
        <f t="shared" si="1"/>
        <v>550790</v>
      </c>
      <c r="K4" s="65">
        <f t="shared" si="2"/>
        <v>1094895</v>
      </c>
    </row>
    <row r="5" spans="1:11" ht="13.5" customHeight="1" x14ac:dyDescent="0.35">
      <c r="A5" s="70">
        <v>11001</v>
      </c>
      <c r="B5" s="70" t="s">
        <v>201</v>
      </c>
      <c r="C5" s="67">
        <v>2045002.513829703</v>
      </c>
      <c r="D5" s="65">
        <v>0</v>
      </c>
      <c r="E5" s="65">
        <v>340211</v>
      </c>
      <c r="F5" s="66"/>
      <c r="G5" s="69">
        <f t="shared" si="0"/>
        <v>682290</v>
      </c>
      <c r="H5" s="65">
        <v>338450</v>
      </c>
      <c r="I5" s="66"/>
      <c r="J5" s="69">
        <f t="shared" si="1"/>
        <v>684051</v>
      </c>
      <c r="K5" s="65">
        <f t="shared" si="2"/>
        <v>1366341</v>
      </c>
    </row>
    <row r="6" spans="1:11" ht="13.5" customHeight="1" x14ac:dyDescent="0.35">
      <c r="A6" s="70">
        <v>38001</v>
      </c>
      <c r="B6" s="70" t="s">
        <v>202</v>
      </c>
      <c r="C6" s="67">
        <v>1711702.878501266</v>
      </c>
      <c r="D6" s="65">
        <v>0</v>
      </c>
      <c r="E6" s="65">
        <v>474860</v>
      </c>
      <c r="F6" s="66"/>
      <c r="G6" s="69">
        <f t="shared" si="0"/>
        <v>380991</v>
      </c>
      <c r="H6" s="65">
        <v>473788</v>
      </c>
      <c r="I6" s="66"/>
      <c r="J6" s="69">
        <f t="shared" si="1"/>
        <v>382063</v>
      </c>
      <c r="K6" s="65">
        <f t="shared" si="2"/>
        <v>763054</v>
      </c>
    </row>
    <row r="7" spans="1:11" ht="13.5" customHeight="1" x14ac:dyDescent="0.35">
      <c r="A7" s="70">
        <v>21001</v>
      </c>
      <c r="B7" s="70" t="s">
        <v>203</v>
      </c>
      <c r="C7" s="67">
        <v>1151235.841392</v>
      </c>
      <c r="D7" s="65">
        <v>2434.3800000000047</v>
      </c>
      <c r="E7" s="65">
        <v>197621</v>
      </c>
      <c r="F7" s="66"/>
      <c r="G7" s="69">
        <f t="shared" si="0"/>
        <v>376780</v>
      </c>
      <c r="H7" s="65">
        <v>188177</v>
      </c>
      <c r="I7" s="66"/>
      <c r="J7" s="69">
        <f t="shared" si="1"/>
        <v>386224</v>
      </c>
      <c r="K7" s="65">
        <f t="shared" si="2"/>
        <v>763004</v>
      </c>
    </row>
    <row r="8" spans="1:11" ht="13.5" customHeight="1" x14ac:dyDescent="0.35">
      <c r="A8" s="70">
        <v>4001</v>
      </c>
      <c r="B8" s="70" t="s">
        <v>204</v>
      </c>
      <c r="C8" s="67">
        <v>1564388.9484404163</v>
      </c>
      <c r="D8" s="65">
        <v>0</v>
      </c>
      <c r="E8" s="65">
        <v>207693</v>
      </c>
      <c r="F8" s="66"/>
      <c r="G8" s="69">
        <f t="shared" si="0"/>
        <v>574501</v>
      </c>
      <c r="H8" s="65">
        <v>207330</v>
      </c>
      <c r="I8" s="66"/>
      <c r="J8" s="69">
        <f t="shared" si="1"/>
        <v>574864</v>
      </c>
      <c r="K8" s="65">
        <f t="shared" si="2"/>
        <v>1149365</v>
      </c>
    </row>
    <row r="9" spans="1:11" ht="13.5" customHeight="1" x14ac:dyDescent="0.35">
      <c r="A9" s="70">
        <v>49001</v>
      </c>
      <c r="B9" s="70" t="s">
        <v>205</v>
      </c>
      <c r="C9" s="67">
        <v>2846852.4999293499</v>
      </c>
      <c r="D9" s="65">
        <v>0</v>
      </c>
      <c r="E9" s="65">
        <v>328460</v>
      </c>
      <c r="F9" s="66"/>
      <c r="G9" s="69">
        <f t="shared" si="0"/>
        <v>1094966</v>
      </c>
      <c r="H9" s="65">
        <v>315858</v>
      </c>
      <c r="I9" s="66"/>
      <c r="J9" s="69">
        <f t="shared" si="1"/>
        <v>1107568</v>
      </c>
      <c r="K9" s="65">
        <f t="shared" si="2"/>
        <v>2202534</v>
      </c>
    </row>
    <row r="10" spans="1:11" ht="13.5" customHeight="1" x14ac:dyDescent="0.35">
      <c r="A10" s="70">
        <v>9001</v>
      </c>
      <c r="B10" s="70" t="s">
        <v>206</v>
      </c>
      <c r="C10" s="67">
        <v>7602048.8267461918</v>
      </c>
      <c r="D10" s="65">
        <v>0</v>
      </c>
      <c r="E10" s="65">
        <v>1077117</v>
      </c>
      <c r="F10" s="66"/>
      <c r="G10" s="69">
        <f t="shared" si="0"/>
        <v>2723907</v>
      </c>
      <c r="H10" s="65">
        <v>1065487</v>
      </c>
      <c r="I10" s="66">
        <v>-370.6</v>
      </c>
      <c r="J10" s="69">
        <f t="shared" si="1"/>
        <v>2735167</v>
      </c>
      <c r="K10" s="65">
        <f t="shared" si="2"/>
        <v>5459074</v>
      </c>
    </row>
    <row r="11" spans="1:11" ht="13.5" customHeight="1" x14ac:dyDescent="0.35">
      <c r="A11" s="70">
        <v>3001</v>
      </c>
      <c r="B11" s="70" t="s">
        <v>207</v>
      </c>
      <c r="C11" s="67">
        <v>2803698.335280383</v>
      </c>
      <c r="D11" s="65">
        <v>0</v>
      </c>
      <c r="E11" s="65">
        <v>214764</v>
      </c>
      <c r="F11" s="66"/>
      <c r="G11" s="69">
        <f t="shared" si="0"/>
        <v>1187085</v>
      </c>
      <c r="H11" s="65">
        <v>214569</v>
      </c>
      <c r="I11" s="66"/>
      <c r="J11" s="69">
        <f t="shared" si="1"/>
        <v>1187280</v>
      </c>
      <c r="K11" s="65">
        <f t="shared" si="2"/>
        <v>2374365</v>
      </c>
    </row>
    <row r="12" spans="1:11" ht="13.5" customHeight="1" x14ac:dyDescent="0.35">
      <c r="A12" s="70">
        <v>61002</v>
      </c>
      <c r="B12" s="70" t="s">
        <v>208</v>
      </c>
      <c r="C12" s="67">
        <v>3701058.7678122241</v>
      </c>
      <c r="D12" s="65">
        <v>0</v>
      </c>
      <c r="E12" s="65">
        <v>661221</v>
      </c>
      <c r="F12" s="66"/>
      <c r="G12" s="69">
        <f t="shared" si="0"/>
        <v>1189308</v>
      </c>
      <c r="H12" s="65">
        <v>665736</v>
      </c>
      <c r="I12" s="66"/>
      <c r="J12" s="69">
        <f t="shared" si="1"/>
        <v>1184793</v>
      </c>
      <c r="K12" s="65">
        <f t="shared" si="2"/>
        <v>2374101</v>
      </c>
    </row>
    <row r="13" spans="1:11" ht="13.5" customHeight="1" x14ac:dyDescent="0.35">
      <c r="A13" s="70">
        <v>25001</v>
      </c>
      <c r="B13" s="70" t="s">
        <v>209</v>
      </c>
      <c r="C13" s="67">
        <v>618446.63503350003</v>
      </c>
      <c r="D13" s="65">
        <v>0</v>
      </c>
      <c r="E13" s="65">
        <v>201427</v>
      </c>
      <c r="F13" s="66"/>
      <c r="G13" s="69">
        <f t="shared" si="0"/>
        <v>107796</v>
      </c>
      <c r="H13" s="65">
        <v>172464</v>
      </c>
      <c r="I13" s="66"/>
      <c r="J13" s="69">
        <f t="shared" si="1"/>
        <v>136759</v>
      </c>
      <c r="K13" s="65">
        <f t="shared" si="2"/>
        <v>244555</v>
      </c>
    </row>
    <row r="14" spans="1:11" ht="13.5" customHeight="1" x14ac:dyDescent="0.35">
      <c r="A14" s="70">
        <v>52001</v>
      </c>
      <c r="B14" s="70" t="s">
        <v>210</v>
      </c>
      <c r="C14" s="67">
        <v>1041594.3326879999</v>
      </c>
      <c r="D14" s="65">
        <v>0</v>
      </c>
      <c r="E14" s="65">
        <v>261679</v>
      </c>
      <c r="F14" s="66"/>
      <c r="G14" s="69">
        <f t="shared" si="0"/>
        <v>259118</v>
      </c>
      <c r="H14" s="65">
        <v>294779</v>
      </c>
      <c r="I14" s="66"/>
      <c r="J14" s="69">
        <f t="shared" si="1"/>
        <v>226018</v>
      </c>
      <c r="K14" s="65">
        <f t="shared" si="2"/>
        <v>485136</v>
      </c>
    </row>
    <row r="15" spans="1:11" ht="13.5" customHeight="1" x14ac:dyDescent="0.35">
      <c r="A15" s="70">
        <v>4002</v>
      </c>
      <c r="B15" s="70" t="s">
        <v>211</v>
      </c>
      <c r="C15" s="67">
        <v>3021694.9059405411</v>
      </c>
      <c r="D15" s="65">
        <v>0</v>
      </c>
      <c r="E15" s="65">
        <v>505620</v>
      </c>
      <c r="F15" s="66"/>
      <c r="G15" s="69">
        <f t="shared" si="0"/>
        <v>1005227</v>
      </c>
      <c r="H15" s="65">
        <v>494476</v>
      </c>
      <c r="I15" s="66"/>
      <c r="J15" s="69">
        <f t="shared" si="1"/>
        <v>1016371</v>
      </c>
      <c r="K15" s="65">
        <f t="shared" si="2"/>
        <v>2021598</v>
      </c>
    </row>
    <row r="16" spans="1:11" ht="13.5" customHeight="1" x14ac:dyDescent="0.35">
      <c r="A16" s="70">
        <v>22001</v>
      </c>
      <c r="B16" s="70" t="s">
        <v>212</v>
      </c>
      <c r="C16" s="67">
        <v>746932.77804600005</v>
      </c>
      <c r="D16" s="65">
        <v>12847.319999999992</v>
      </c>
      <c r="E16" s="65">
        <v>244389</v>
      </c>
      <c r="F16" s="66"/>
      <c r="G16" s="69">
        <f t="shared" si="0"/>
        <v>122654</v>
      </c>
      <c r="H16" s="65">
        <v>263346</v>
      </c>
      <c r="I16" s="66"/>
      <c r="J16" s="69">
        <f t="shared" si="1"/>
        <v>103697</v>
      </c>
      <c r="K16" s="65">
        <f t="shared" si="2"/>
        <v>226351</v>
      </c>
    </row>
    <row r="17" spans="1:11" ht="13.5" customHeight="1" x14ac:dyDescent="0.35">
      <c r="A17" s="70">
        <v>49002</v>
      </c>
      <c r="B17" s="70" t="s">
        <v>213</v>
      </c>
      <c r="C17" s="67">
        <v>22284801.106351063</v>
      </c>
      <c r="D17" s="65">
        <v>0</v>
      </c>
      <c r="E17" s="65">
        <v>3806842</v>
      </c>
      <c r="F17" s="66"/>
      <c r="G17" s="69">
        <f t="shared" si="0"/>
        <v>7335559</v>
      </c>
      <c r="H17" s="65">
        <v>3636288</v>
      </c>
      <c r="I17" s="66"/>
      <c r="J17" s="69">
        <f t="shared" si="1"/>
        <v>7506113</v>
      </c>
      <c r="K17" s="65">
        <f t="shared" si="2"/>
        <v>14841672</v>
      </c>
    </row>
    <row r="18" spans="1:11" ht="13.5" customHeight="1" x14ac:dyDescent="0.35">
      <c r="A18" s="70">
        <v>30003</v>
      </c>
      <c r="B18" s="70" t="s">
        <v>214</v>
      </c>
      <c r="C18" s="67">
        <v>2117147.7532745749</v>
      </c>
      <c r="D18" s="65">
        <v>0</v>
      </c>
      <c r="E18" s="65">
        <v>423295</v>
      </c>
      <c r="F18" s="66"/>
      <c r="G18" s="69">
        <f t="shared" si="0"/>
        <v>635279</v>
      </c>
      <c r="H18" s="65">
        <v>407105</v>
      </c>
      <c r="I18" s="66"/>
      <c r="J18" s="69">
        <f t="shared" si="1"/>
        <v>651469</v>
      </c>
      <c r="K18" s="65">
        <f t="shared" si="2"/>
        <v>1286748</v>
      </c>
    </row>
    <row r="19" spans="1:11" ht="13.5" customHeight="1" x14ac:dyDescent="0.35">
      <c r="A19" s="70">
        <v>45004</v>
      </c>
      <c r="B19" s="70" t="s">
        <v>377</v>
      </c>
      <c r="C19" s="67">
        <v>2538161.2818917539</v>
      </c>
      <c r="D19" s="65">
        <v>0</v>
      </c>
      <c r="E19" s="65">
        <v>928853</v>
      </c>
      <c r="F19" s="66"/>
      <c r="G19" s="69">
        <f t="shared" si="0"/>
        <v>340228</v>
      </c>
      <c r="H19" s="65">
        <v>917471</v>
      </c>
      <c r="I19" s="66"/>
      <c r="J19" s="69">
        <f t="shared" si="1"/>
        <v>351610</v>
      </c>
      <c r="K19" s="65">
        <f t="shared" si="2"/>
        <v>691838</v>
      </c>
    </row>
    <row r="20" spans="1:11" ht="13.5" customHeight="1" x14ac:dyDescent="0.35">
      <c r="A20" s="70">
        <v>5001</v>
      </c>
      <c r="B20" s="70" t="s">
        <v>216</v>
      </c>
      <c r="C20" s="67">
        <v>18760210.346797921</v>
      </c>
      <c r="D20" s="65">
        <v>0</v>
      </c>
      <c r="E20" s="65">
        <v>4063542</v>
      </c>
      <c r="F20" s="66"/>
      <c r="G20" s="69">
        <f t="shared" si="0"/>
        <v>5316563</v>
      </c>
      <c r="H20" s="65">
        <v>3829404</v>
      </c>
      <c r="I20" s="66"/>
      <c r="J20" s="69">
        <f t="shared" si="1"/>
        <v>5550701</v>
      </c>
      <c r="K20" s="65">
        <f t="shared" si="2"/>
        <v>10867264</v>
      </c>
    </row>
    <row r="21" spans="1:11" ht="13.5" customHeight="1" x14ac:dyDescent="0.35">
      <c r="A21" s="70">
        <v>26002</v>
      </c>
      <c r="B21" s="70" t="s">
        <v>217</v>
      </c>
      <c r="C21" s="67">
        <v>1541307.8878585638</v>
      </c>
      <c r="D21" s="65">
        <v>0</v>
      </c>
      <c r="E21" s="65">
        <v>196829</v>
      </c>
      <c r="F21" s="66"/>
      <c r="G21" s="69">
        <f t="shared" si="0"/>
        <v>573825</v>
      </c>
      <c r="H21" s="65">
        <v>207417</v>
      </c>
      <c r="I21" s="66"/>
      <c r="J21" s="69">
        <f t="shared" si="1"/>
        <v>563237</v>
      </c>
      <c r="K21" s="65">
        <f t="shared" si="2"/>
        <v>1137062</v>
      </c>
    </row>
    <row r="22" spans="1:11" ht="13.5" customHeight="1" x14ac:dyDescent="0.35">
      <c r="A22" s="70">
        <v>43001</v>
      </c>
      <c r="B22" s="70" t="s">
        <v>218</v>
      </c>
      <c r="C22" s="67">
        <v>1434946.0863584732</v>
      </c>
      <c r="D22" s="65">
        <v>0</v>
      </c>
      <c r="E22" s="65">
        <v>222691</v>
      </c>
      <c r="F22" s="66"/>
      <c r="G22" s="69">
        <f t="shared" si="0"/>
        <v>494782</v>
      </c>
      <c r="H22" s="65">
        <v>216713</v>
      </c>
      <c r="I22" s="66"/>
      <c r="J22" s="69">
        <f t="shared" si="1"/>
        <v>500760</v>
      </c>
      <c r="K22" s="65">
        <f t="shared" si="2"/>
        <v>995542</v>
      </c>
    </row>
    <row r="23" spans="1:11" ht="13.5" customHeight="1" x14ac:dyDescent="0.35">
      <c r="A23" s="70">
        <v>41001</v>
      </c>
      <c r="B23" s="70" t="s">
        <v>219</v>
      </c>
      <c r="C23" s="67">
        <v>4820257.2321055997</v>
      </c>
      <c r="D23" s="65">
        <v>0</v>
      </c>
      <c r="E23" s="65">
        <v>936221</v>
      </c>
      <c r="F23" s="66"/>
      <c r="G23" s="69">
        <f t="shared" si="0"/>
        <v>1473908</v>
      </c>
      <c r="H23" s="65">
        <v>960415</v>
      </c>
      <c r="I23" s="66"/>
      <c r="J23" s="69">
        <f t="shared" si="1"/>
        <v>1449714</v>
      </c>
      <c r="K23" s="65">
        <f t="shared" si="2"/>
        <v>2923622</v>
      </c>
    </row>
    <row r="24" spans="1:11" ht="13.5" customHeight="1" x14ac:dyDescent="0.35">
      <c r="A24" s="70">
        <v>28001</v>
      </c>
      <c r="B24" s="70" t="s">
        <v>220</v>
      </c>
      <c r="C24" s="67">
        <v>1878779.9995635073</v>
      </c>
      <c r="D24" s="65">
        <v>0</v>
      </c>
      <c r="E24" s="65">
        <v>306943</v>
      </c>
      <c r="F24" s="66"/>
      <c r="G24" s="69">
        <f t="shared" si="0"/>
        <v>632447</v>
      </c>
      <c r="H24" s="65">
        <v>296804</v>
      </c>
      <c r="I24" s="66"/>
      <c r="J24" s="69">
        <f t="shared" si="1"/>
        <v>642586</v>
      </c>
      <c r="K24" s="65">
        <f t="shared" si="2"/>
        <v>1275033</v>
      </c>
    </row>
    <row r="25" spans="1:11" ht="13.5" customHeight="1" x14ac:dyDescent="0.35">
      <c r="A25" s="70">
        <v>60001</v>
      </c>
      <c r="B25" s="70" t="s">
        <v>221</v>
      </c>
      <c r="C25" s="67">
        <v>1752735.0442368567</v>
      </c>
      <c r="D25" s="65">
        <v>0</v>
      </c>
      <c r="E25" s="65">
        <v>282851</v>
      </c>
      <c r="F25" s="66"/>
      <c r="G25" s="69">
        <f t="shared" si="0"/>
        <v>593517</v>
      </c>
      <c r="H25" s="65">
        <v>286524</v>
      </c>
      <c r="I25" s="66"/>
      <c r="J25" s="69">
        <f t="shared" si="1"/>
        <v>589844</v>
      </c>
      <c r="K25" s="65">
        <f t="shared" si="2"/>
        <v>1183361</v>
      </c>
    </row>
    <row r="26" spans="1:11" ht="13.5" customHeight="1" x14ac:dyDescent="0.35">
      <c r="A26" s="70">
        <v>7001</v>
      </c>
      <c r="B26" s="70" t="s">
        <v>222</v>
      </c>
      <c r="C26" s="67">
        <v>4934306.4577148156</v>
      </c>
      <c r="D26" s="65">
        <v>0</v>
      </c>
      <c r="E26" s="65">
        <v>900348</v>
      </c>
      <c r="F26" s="66"/>
      <c r="G26" s="69">
        <f t="shared" si="0"/>
        <v>1566805</v>
      </c>
      <c r="H26" s="65">
        <v>913729</v>
      </c>
      <c r="I26" s="66"/>
      <c r="J26" s="69">
        <f t="shared" si="1"/>
        <v>1553424</v>
      </c>
      <c r="K26" s="65">
        <f t="shared" si="2"/>
        <v>3120229</v>
      </c>
    </row>
    <row r="27" spans="1:11" ht="13.5" customHeight="1" x14ac:dyDescent="0.35">
      <c r="A27" s="70">
        <v>39001</v>
      </c>
      <c r="B27" s="70" t="s">
        <v>376</v>
      </c>
      <c r="C27" s="67">
        <v>3146392.6069952068</v>
      </c>
      <c r="D27" s="65">
        <v>0</v>
      </c>
      <c r="E27" s="65">
        <v>540850</v>
      </c>
      <c r="F27" s="66"/>
      <c r="G27" s="69">
        <f t="shared" si="0"/>
        <v>1032346</v>
      </c>
      <c r="H27" s="65">
        <v>529566</v>
      </c>
      <c r="I27" s="66"/>
      <c r="J27" s="69">
        <f t="shared" si="1"/>
        <v>1043630</v>
      </c>
      <c r="K27" s="65">
        <f t="shared" si="2"/>
        <v>2075976</v>
      </c>
    </row>
    <row r="28" spans="1:11" ht="13.5" customHeight="1" x14ac:dyDescent="0.35">
      <c r="A28" s="70">
        <v>12002</v>
      </c>
      <c r="B28" s="70" t="s">
        <v>224</v>
      </c>
      <c r="C28" s="67">
        <v>2322701.6650277907</v>
      </c>
      <c r="D28" s="65">
        <v>0</v>
      </c>
      <c r="E28" s="65">
        <v>833398</v>
      </c>
      <c r="F28" s="66"/>
      <c r="G28" s="69">
        <f t="shared" si="0"/>
        <v>327953</v>
      </c>
      <c r="H28" s="65">
        <v>799705</v>
      </c>
      <c r="I28" s="66"/>
      <c r="J28" s="69">
        <f t="shared" si="1"/>
        <v>361646</v>
      </c>
      <c r="K28" s="65">
        <f t="shared" si="2"/>
        <v>689599</v>
      </c>
    </row>
    <row r="29" spans="1:11" ht="13.5" customHeight="1" x14ac:dyDescent="0.35">
      <c r="A29" s="70">
        <v>50005</v>
      </c>
      <c r="B29" s="70" t="s">
        <v>225</v>
      </c>
      <c r="C29" s="67">
        <v>1644289.778378142</v>
      </c>
      <c r="D29" s="65">
        <v>0</v>
      </c>
      <c r="E29" s="65">
        <v>283107</v>
      </c>
      <c r="F29" s="66"/>
      <c r="G29" s="69">
        <f t="shared" si="0"/>
        <v>539038</v>
      </c>
      <c r="H29" s="65">
        <v>274628</v>
      </c>
      <c r="I29" s="66"/>
      <c r="J29" s="69">
        <f t="shared" si="1"/>
        <v>547517</v>
      </c>
      <c r="K29" s="65">
        <f t="shared" si="2"/>
        <v>1086555</v>
      </c>
    </row>
    <row r="30" spans="1:11" ht="13.5" customHeight="1" x14ac:dyDescent="0.35">
      <c r="A30" s="70">
        <v>59003</v>
      </c>
      <c r="B30" s="70" t="s">
        <v>226</v>
      </c>
      <c r="C30" s="67">
        <v>1512296.6717793101</v>
      </c>
      <c r="D30" s="65">
        <v>0</v>
      </c>
      <c r="E30" s="65">
        <v>280736</v>
      </c>
      <c r="F30" s="66"/>
      <c r="G30" s="69">
        <f t="shared" si="0"/>
        <v>475412</v>
      </c>
      <c r="H30" s="65">
        <v>271828</v>
      </c>
      <c r="I30" s="66"/>
      <c r="J30" s="69">
        <f t="shared" si="1"/>
        <v>484320</v>
      </c>
      <c r="K30" s="65">
        <f t="shared" si="2"/>
        <v>959732</v>
      </c>
    </row>
    <row r="31" spans="1:11" ht="13.5" customHeight="1" x14ac:dyDescent="0.35">
      <c r="A31" s="70">
        <v>21003</v>
      </c>
      <c r="B31" s="70" t="s">
        <v>227</v>
      </c>
      <c r="C31" s="67">
        <v>1666869.6962267715</v>
      </c>
      <c r="D31" s="65">
        <v>0</v>
      </c>
      <c r="E31" s="65">
        <v>472705</v>
      </c>
      <c r="F31" s="66"/>
      <c r="G31" s="69">
        <f t="shared" si="0"/>
        <v>360730</v>
      </c>
      <c r="H31" s="65">
        <v>442927</v>
      </c>
      <c r="I31" s="66"/>
      <c r="J31" s="69">
        <f t="shared" si="1"/>
        <v>390508</v>
      </c>
      <c r="K31" s="65">
        <f t="shared" si="2"/>
        <v>751238</v>
      </c>
    </row>
    <row r="32" spans="1:11" ht="13.5" customHeight="1" x14ac:dyDescent="0.35">
      <c r="A32" s="70">
        <v>16001</v>
      </c>
      <c r="B32" s="70" t="s">
        <v>228</v>
      </c>
      <c r="C32" s="67">
        <v>4918901.8257419039</v>
      </c>
      <c r="D32" s="65">
        <v>0</v>
      </c>
      <c r="E32" s="65">
        <v>2114702</v>
      </c>
      <c r="F32" s="66"/>
      <c r="G32" s="69">
        <f t="shared" si="0"/>
        <v>344749</v>
      </c>
      <c r="H32" s="77">
        <v>2038709</v>
      </c>
      <c r="I32" s="66"/>
      <c r="J32" s="69">
        <f t="shared" si="1"/>
        <v>420742</v>
      </c>
      <c r="K32" s="65">
        <f t="shared" si="2"/>
        <v>765491</v>
      </c>
    </row>
    <row r="33" spans="1:11" ht="13.5" customHeight="1" x14ac:dyDescent="0.35">
      <c r="A33" s="70">
        <v>61008</v>
      </c>
      <c r="B33" s="70" t="s">
        <v>229</v>
      </c>
      <c r="C33" s="67">
        <v>7140238.7920849444</v>
      </c>
      <c r="D33" s="65">
        <v>0</v>
      </c>
      <c r="E33" s="65">
        <v>1947090</v>
      </c>
      <c r="F33" s="66"/>
      <c r="G33" s="69">
        <f t="shared" si="0"/>
        <v>1623029</v>
      </c>
      <c r="H33" s="65">
        <v>1903405</v>
      </c>
      <c r="I33" s="66"/>
      <c r="J33" s="69">
        <f t="shared" si="1"/>
        <v>1666714</v>
      </c>
      <c r="K33" s="65">
        <f t="shared" si="2"/>
        <v>3289743</v>
      </c>
    </row>
    <row r="34" spans="1:11" ht="13.5" customHeight="1" x14ac:dyDescent="0.35">
      <c r="A34" s="70">
        <v>38002</v>
      </c>
      <c r="B34" s="70" t="s">
        <v>230</v>
      </c>
      <c r="C34" s="67">
        <v>1945460.3777090479</v>
      </c>
      <c r="D34" s="65">
        <v>0</v>
      </c>
      <c r="E34" s="65">
        <v>492554</v>
      </c>
      <c r="F34" s="66"/>
      <c r="G34" s="69">
        <f t="shared" ref="G34:G65" si="3">IF((0.5*C34)-(0.5*D34)-E34+F34&lt;0,0,ROUND((0.5*C34)-(0.5*D34)-E34+F34,0))</f>
        <v>480176</v>
      </c>
      <c r="H34" s="65">
        <v>525177</v>
      </c>
      <c r="I34" s="66"/>
      <c r="J34" s="69">
        <f t="shared" ref="J34:J65" si="4">IF((0.5*C34)-(0.5*D34)-H34+I34&lt;0,0,ROUND((0.5*C34)-(0.5*D34)-H34+I34,0))</f>
        <v>447553</v>
      </c>
      <c r="K34" s="65">
        <f t="shared" ref="K34:K65" si="5">G34+J34</f>
        <v>927729</v>
      </c>
    </row>
    <row r="35" spans="1:11" ht="13.5" customHeight="1" x14ac:dyDescent="0.35">
      <c r="A35" s="70">
        <v>49003</v>
      </c>
      <c r="B35" s="70" t="s">
        <v>231</v>
      </c>
      <c r="C35" s="67">
        <v>5151122.5411769766</v>
      </c>
      <c r="D35" s="65">
        <v>0</v>
      </c>
      <c r="E35" s="65">
        <v>963125</v>
      </c>
      <c r="F35" s="66"/>
      <c r="G35" s="69">
        <f t="shared" si="3"/>
        <v>1612436</v>
      </c>
      <c r="H35" s="65">
        <v>920000</v>
      </c>
      <c r="I35" s="66"/>
      <c r="J35" s="69">
        <f t="shared" si="4"/>
        <v>1655561</v>
      </c>
      <c r="K35" s="65">
        <f t="shared" si="5"/>
        <v>3267997</v>
      </c>
    </row>
    <row r="36" spans="1:11" ht="13.5" customHeight="1" x14ac:dyDescent="0.35">
      <c r="A36" s="70">
        <v>5006</v>
      </c>
      <c r="B36" s="70" t="s">
        <v>375</v>
      </c>
      <c r="C36" s="67">
        <v>2292221.9100156371</v>
      </c>
      <c r="D36" s="65">
        <v>0</v>
      </c>
      <c r="E36" s="65">
        <v>530664</v>
      </c>
      <c r="F36" s="66"/>
      <c r="G36" s="69">
        <f t="shared" si="3"/>
        <v>615447</v>
      </c>
      <c r="H36" s="65">
        <v>525064</v>
      </c>
      <c r="I36" s="66"/>
      <c r="J36" s="69">
        <f t="shared" si="4"/>
        <v>621047</v>
      </c>
      <c r="K36" s="65">
        <f t="shared" si="5"/>
        <v>1236494</v>
      </c>
    </row>
    <row r="37" spans="1:11" ht="13.5" customHeight="1" x14ac:dyDescent="0.35">
      <c r="A37" s="70">
        <v>19004</v>
      </c>
      <c r="B37" s="70" t="s">
        <v>233</v>
      </c>
      <c r="C37" s="67">
        <v>2850882.2392813652</v>
      </c>
      <c r="D37" s="65">
        <v>0</v>
      </c>
      <c r="E37" s="65">
        <v>772357</v>
      </c>
      <c r="F37" s="66"/>
      <c r="G37" s="69">
        <f t="shared" si="3"/>
        <v>653084</v>
      </c>
      <c r="H37" s="65">
        <v>817680</v>
      </c>
      <c r="I37" s="66"/>
      <c r="J37" s="69">
        <f t="shared" si="4"/>
        <v>607761</v>
      </c>
      <c r="K37" s="65">
        <f t="shared" si="5"/>
        <v>1260845</v>
      </c>
    </row>
    <row r="38" spans="1:11" ht="13.5" customHeight="1" x14ac:dyDescent="0.35">
      <c r="A38" s="70">
        <v>56002</v>
      </c>
      <c r="B38" s="70" t="s">
        <v>234</v>
      </c>
      <c r="C38" s="67">
        <v>1226614.3786259999</v>
      </c>
      <c r="D38" s="65">
        <v>0</v>
      </c>
      <c r="E38" s="65">
        <v>451304</v>
      </c>
      <c r="F38" s="66"/>
      <c r="G38" s="69">
        <f t="shared" si="3"/>
        <v>162003</v>
      </c>
      <c r="H38" s="65">
        <v>448295</v>
      </c>
      <c r="I38" s="66"/>
      <c r="J38" s="69">
        <f t="shared" si="4"/>
        <v>165012</v>
      </c>
      <c r="K38" s="65">
        <f t="shared" si="5"/>
        <v>327015</v>
      </c>
    </row>
    <row r="39" spans="1:11" ht="13.5" customHeight="1" x14ac:dyDescent="0.35">
      <c r="A39" s="70">
        <v>51001</v>
      </c>
      <c r="B39" s="70" t="s">
        <v>235</v>
      </c>
      <c r="C39" s="67">
        <v>16036879.732853618</v>
      </c>
      <c r="D39" s="65">
        <v>8076.2799999999697</v>
      </c>
      <c r="E39" s="65">
        <v>1310717</v>
      </c>
      <c r="F39" s="66"/>
      <c r="G39" s="69">
        <f t="shared" si="3"/>
        <v>6703685</v>
      </c>
      <c r="H39" s="65">
        <v>1216278</v>
      </c>
      <c r="I39" s="66"/>
      <c r="J39" s="69">
        <f t="shared" si="4"/>
        <v>6798124</v>
      </c>
      <c r="K39" s="65">
        <f t="shared" si="5"/>
        <v>13501809</v>
      </c>
    </row>
    <row r="40" spans="1:11" ht="13.5" customHeight="1" x14ac:dyDescent="0.35">
      <c r="A40" s="70">
        <v>64002</v>
      </c>
      <c r="B40" s="70" t="s">
        <v>236</v>
      </c>
      <c r="C40" s="67">
        <v>2319214.876076329</v>
      </c>
      <c r="D40" s="65">
        <v>0</v>
      </c>
      <c r="E40" s="65">
        <v>144878</v>
      </c>
      <c r="F40" s="66"/>
      <c r="G40" s="69">
        <f t="shared" si="3"/>
        <v>1014729</v>
      </c>
      <c r="H40" s="65">
        <v>160758</v>
      </c>
      <c r="I40" s="66"/>
      <c r="J40" s="69">
        <f t="shared" si="4"/>
        <v>998849</v>
      </c>
      <c r="K40" s="65">
        <f t="shared" si="5"/>
        <v>2013578</v>
      </c>
    </row>
    <row r="41" spans="1:11" ht="13.5" customHeight="1" x14ac:dyDescent="0.35">
      <c r="A41" s="70">
        <v>20001</v>
      </c>
      <c r="B41" s="70" t="s">
        <v>237</v>
      </c>
      <c r="C41" s="67">
        <v>2217869.5280942582</v>
      </c>
      <c r="D41" s="65">
        <v>0</v>
      </c>
      <c r="E41" s="65">
        <v>200664</v>
      </c>
      <c r="F41" s="66"/>
      <c r="G41" s="69">
        <f t="shared" si="3"/>
        <v>908271</v>
      </c>
      <c r="H41" s="65">
        <v>205489</v>
      </c>
      <c r="I41" s="66"/>
      <c r="J41" s="69">
        <f t="shared" si="4"/>
        <v>903446</v>
      </c>
      <c r="K41" s="65">
        <f t="shared" si="5"/>
        <v>1811717</v>
      </c>
    </row>
    <row r="42" spans="1:11" ht="13.5" customHeight="1" x14ac:dyDescent="0.35">
      <c r="A42" s="70">
        <v>23001</v>
      </c>
      <c r="B42" s="70" t="s">
        <v>238</v>
      </c>
      <c r="C42" s="67">
        <v>1050434.1793272598</v>
      </c>
      <c r="D42" s="65">
        <v>4095.3600000000006</v>
      </c>
      <c r="E42" s="65">
        <v>357087</v>
      </c>
      <c r="F42" s="66"/>
      <c r="G42" s="69">
        <f t="shared" si="3"/>
        <v>166082</v>
      </c>
      <c r="H42" s="65">
        <v>294431</v>
      </c>
      <c r="I42" s="66"/>
      <c r="J42" s="69">
        <f t="shared" si="4"/>
        <v>228738</v>
      </c>
      <c r="K42" s="65">
        <f t="shared" si="5"/>
        <v>394820</v>
      </c>
    </row>
    <row r="43" spans="1:11" ht="13.5" customHeight="1" x14ac:dyDescent="0.35">
      <c r="A43" s="70">
        <v>22005</v>
      </c>
      <c r="B43" s="70" t="s">
        <v>239</v>
      </c>
      <c r="C43" s="67">
        <v>1012470.8069384999</v>
      </c>
      <c r="D43" s="65">
        <v>0</v>
      </c>
      <c r="E43" s="65">
        <v>439604</v>
      </c>
      <c r="F43" s="66"/>
      <c r="G43" s="69">
        <f t="shared" si="3"/>
        <v>66631</v>
      </c>
      <c r="H43" s="65">
        <v>547880</v>
      </c>
      <c r="I43" s="66"/>
      <c r="J43" s="69">
        <f t="shared" si="4"/>
        <v>0</v>
      </c>
      <c r="K43" s="65">
        <f t="shared" si="5"/>
        <v>66631</v>
      </c>
    </row>
    <row r="44" spans="1:11" ht="13.5" customHeight="1" x14ac:dyDescent="0.35">
      <c r="A44" s="70">
        <v>16002</v>
      </c>
      <c r="B44" s="70" t="s">
        <v>240</v>
      </c>
      <c r="C44" s="67">
        <v>68525.942939999994</v>
      </c>
      <c r="D44" s="65">
        <v>0</v>
      </c>
      <c r="E44" s="65">
        <v>102940</v>
      </c>
      <c r="F44" s="66"/>
      <c r="G44" s="69">
        <f t="shared" si="3"/>
        <v>0</v>
      </c>
      <c r="H44" s="77">
        <v>95616</v>
      </c>
      <c r="I44" s="66"/>
      <c r="J44" s="69">
        <f t="shared" si="4"/>
        <v>0</v>
      </c>
      <c r="K44" s="65">
        <f t="shared" si="5"/>
        <v>0</v>
      </c>
    </row>
    <row r="45" spans="1:11" ht="13.5" customHeight="1" x14ac:dyDescent="0.35">
      <c r="A45" s="70">
        <v>61007</v>
      </c>
      <c r="B45" s="70" t="s">
        <v>241</v>
      </c>
      <c r="C45" s="67">
        <v>3770297.3805587995</v>
      </c>
      <c r="D45" s="65">
        <v>0</v>
      </c>
      <c r="E45" s="65">
        <v>718308</v>
      </c>
      <c r="F45" s="66"/>
      <c r="G45" s="69">
        <f t="shared" si="3"/>
        <v>1166841</v>
      </c>
      <c r="H45" s="65">
        <v>719387</v>
      </c>
      <c r="I45" s="66"/>
      <c r="J45" s="69">
        <f t="shared" si="4"/>
        <v>1165762</v>
      </c>
      <c r="K45" s="65">
        <f t="shared" si="5"/>
        <v>2332603</v>
      </c>
    </row>
    <row r="46" spans="1:11" ht="13.5" customHeight="1" x14ac:dyDescent="0.35">
      <c r="A46" s="70">
        <v>5003</v>
      </c>
      <c r="B46" s="70" t="s">
        <v>242</v>
      </c>
      <c r="C46" s="67">
        <v>2043756.1929473688</v>
      </c>
      <c r="D46" s="65">
        <v>0</v>
      </c>
      <c r="E46" s="65">
        <v>773091</v>
      </c>
      <c r="F46" s="66"/>
      <c r="G46" s="69">
        <f t="shared" si="3"/>
        <v>248787</v>
      </c>
      <c r="H46" s="65">
        <v>860653</v>
      </c>
      <c r="I46" s="66"/>
      <c r="J46" s="69">
        <f t="shared" si="4"/>
        <v>161225</v>
      </c>
      <c r="K46" s="65">
        <f t="shared" si="5"/>
        <v>410012</v>
      </c>
    </row>
    <row r="47" spans="1:11" ht="13.5" customHeight="1" x14ac:dyDescent="0.35">
      <c r="A47" s="70">
        <v>28002</v>
      </c>
      <c r="B47" s="70" t="s">
        <v>243</v>
      </c>
      <c r="C47" s="67">
        <v>1787989.8935870738</v>
      </c>
      <c r="D47" s="65">
        <v>991.88999999999942</v>
      </c>
      <c r="E47" s="65">
        <v>484391</v>
      </c>
      <c r="F47" s="66"/>
      <c r="G47" s="69">
        <f t="shared" si="3"/>
        <v>409108</v>
      </c>
      <c r="H47" s="65">
        <v>463418</v>
      </c>
      <c r="I47" s="66"/>
      <c r="J47" s="69">
        <f t="shared" si="4"/>
        <v>430081</v>
      </c>
      <c r="K47" s="65">
        <f t="shared" si="5"/>
        <v>839189</v>
      </c>
    </row>
    <row r="48" spans="1:11" ht="13.5" customHeight="1" x14ac:dyDescent="0.35">
      <c r="A48" s="70">
        <v>17001</v>
      </c>
      <c r="B48" s="70" t="s">
        <v>244</v>
      </c>
      <c r="C48" s="67">
        <v>1649945.0338951459</v>
      </c>
      <c r="D48" s="65">
        <v>0</v>
      </c>
      <c r="E48" s="65">
        <v>165866</v>
      </c>
      <c r="F48" s="66"/>
      <c r="G48" s="69">
        <f t="shared" si="3"/>
        <v>659107</v>
      </c>
      <c r="H48" s="65">
        <v>158793</v>
      </c>
      <c r="I48" s="66"/>
      <c r="J48" s="69">
        <f t="shared" si="4"/>
        <v>666180</v>
      </c>
      <c r="K48" s="65">
        <f t="shared" si="5"/>
        <v>1325287</v>
      </c>
    </row>
    <row r="49" spans="1:11" ht="13.5" customHeight="1" x14ac:dyDescent="0.35">
      <c r="A49" s="70">
        <v>44001</v>
      </c>
      <c r="B49" s="70" t="s">
        <v>245</v>
      </c>
      <c r="C49" s="67">
        <v>1048446.926982</v>
      </c>
      <c r="D49" s="65">
        <v>0</v>
      </c>
      <c r="E49" s="65">
        <v>396873</v>
      </c>
      <c r="F49" s="66"/>
      <c r="G49" s="69">
        <f t="shared" si="3"/>
        <v>127350</v>
      </c>
      <c r="H49" s="65">
        <v>451161</v>
      </c>
      <c r="I49" s="66"/>
      <c r="J49" s="69">
        <f t="shared" si="4"/>
        <v>73062</v>
      </c>
      <c r="K49" s="65">
        <f t="shared" si="5"/>
        <v>200412</v>
      </c>
    </row>
    <row r="50" spans="1:11" ht="13.5" customHeight="1" x14ac:dyDescent="0.35">
      <c r="A50" s="70">
        <v>46002</v>
      </c>
      <c r="B50" s="70" t="s">
        <v>246</v>
      </c>
      <c r="C50" s="67">
        <v>1123825.4642159999</v>
      </c>
      <c r="D50" s="65">
        <v>0</v>
      </c>
      <c r="E50" s="65">
        <v>131084</v>
      </c>
      <c r="F50" s="66"/>
      <c r="G50" s="69">
        <f t="shared" si="3"/>
        <v>430829</v>
      </c>
      <c r="H50" s="65">
        <v>132117</v>
      </c>
      <c r="I50" s="66"/>
      <c r="J50" s="69">
        <f t="shared" si="4"/>
        <v>429796</v>
      </c>
      <c r="K50" s="65">
        <f t="shared" si="5"/>
        <v>860625</v>
      </c>
    </row>
    <row r="51" spans="1:11" ht="13.5" customHeight="1" x14ac:dyDescent="0.35">
      <c r="A51" s="70">
        <v>24004</v>
      </c>
      <c r="B51" s="70" t="s">
        <v>374</v>
      </c>
      <c r="C51" s="67">
        <v>1993920.1685472447</v>
      </c>
      <c r="D51" s="65">
        <v>955.11999999996624</v>
      </c>
      <c r="E51" s="65">
        <v>777841</v>
      </c>
      <c r="F51" s="66"/>
      <c r="G51" s="69">
        <f t="shared" si="3"/>
        <v>218642</v>
      </c>
      <c r="H51" s="65">
        <v>849229</v>
      </c>
      <c r="I51" s="66"/>
      <c r="J51" s="69">
        <f t="shared" si="4"/>
        <v>147254</v>
      </c>
      <c r="K51" s="65">
        <f t="shared" si="5"/>
        <v>365896</v>
      </c>
    </row>
    <row r="52" spans="1:11" ht="13.5" customHeight="1" x14ac:dyDescent="0.35">
      <c r="A52" s="70">
        <v>50003</v>
      </c>
      <c r="B52" s="70" t="s">
        <v>248</v>
      </c>
      <c r="C52" s="67">
        <v>3791348.5502299676</v>
      </c>
      <c r="D52" s="65">
        <v>0</v>
      </c>
      <c r="E52" s="65">
        <v>568300</v>
      </c>
      <c r="F52" s="66"/>
      <c r="G52" s="69">
        <f t="shared" si="3"/>
        <v>1327374</v>
      </c>
      <c r="H52" s="65">
        <v>542828</v>
      </c>
      <c r="I52" s="66"/>
      <c r="J52" s="69">
        <f t="shared" si="4"/>
        <v>1352846</v>
      </c>
      <c r="K52" s="65">
        <f t="shared" si="5"/>
        <v>2680220</v>
      </c>
    </row>
    <row r="53" spans="1:11" ht="13.5" customHeight="1" x14ac:dyDescent="0.35">
      <c r="A53" s="70">
        <v>14001</v>
      </c>
      <c r="B53" s="70" t="s">
        <v>249</v>
      </c>
      <c r="C53" s="67">
        <v>1694941.1973565216</v>
      </c>
      <c r="D53" s="65">
        <v>0</v>
      </c>
      <c r="E53" s="65">
        <v>142885</v>
      </c>
      <c r="F53" s="66"/>
      <c r="G53" s="69">
        <f t="shared" si="3"/>
        <v>704586</v>
      </c>
      <c r="H53" s="65">
        <v>139447</v>
      </c>
      <c r="I53" s="66"/>
      <c r="J53" s="69">
        <f t="shared" si="4"/>
        <v>708024</v>
      </c>
      <c r="K53" s="65">
        <f t="shared" si="5"/>
        <v>1412610</v>
      </c>
    </row>
    <row r="54" spans="1:11" ht="13.5" customHeight="1" x14ac:dyDescent="0.35">
      <c r="A54" s="70">
        <v>6002</v>
      </c>
      <c r="B54" s="70" t="s">
        <v>250</v>
      </c>
      <c r="C54" s="67">
        <v>1100526.6436164</v>
      </c>
      <c r="D54" s="65">
        <v>0</v>
      </c>
      <c r="E54" s="65">
        <v>276069</v>
      </c>
      <c r="F54" s="66"/>
      <c r="G54" s="69">
        <f t="shared" si="3"/>
        <v>274194</v>
      </c>
      <c r="H54" s="65">
        <v>300883</v>
      </c>
      <c r="I54" s="66"/>
      <c r="J54" s="69">
        <f t="shared" si="4"/>
        <v>249380</v>
      </c>
      <c r="K54" s="65">
        <f t="shared" si="5"/>
        <v>523574</v>
      </c>
    </row>
    <row r="55" spans="1:11" ht="13.5" customHeight="1" x14ac:dyDescent="0.35">
      <c r="A55" s="70">
        <v>33001</v>
      </c>
      <c r="B55" s="70" t="s">
        <v>251</v>
      </c>
      <c r="C55" s="67">
        <v>2071038.8938791214</v>
      </c>
      <c r="D55" s="65">
        <v>0</v>
      </c>
      <c r="E55" s="65">
        <v>527221</v>
      </c>
      <c r="F55" s="66"/>
      <c r="G55" s="69">
        <f t="shared" si="3"/>
        <v>508298</v>
      </c>
      <c r="H55" s="65">
        <v>501596</v>
      </c>
      <c r="I55" s="66"/>
      <c r="J55" s="69">
        <f t="shared" si="4"/>
        <v>533923</v>
      </c>
      <c r="K55" s="65">
        <f t="shared" si="5"/>
        <v>1042221</v>
      </c>
    </row>
    <row r="56" spans="1:11" ht="13.5" customHeight="1" x14ac:dyDescent="0.35">
      <c r="A56" s="70">
        <v>49004</v>
      </c>
      <c r="B56" s="70" t="s">
        <v>252</v>
      </c>
      <c r="C56" s="67">
        <v>2787768.2487471499</v>
      </c>
      <c r="D56" s="65">
        <v>0</v>
      </c>
      <c r="E56" s="65">
        <v>436493</v>
      </c>
      <c r="F56" s="66"/>
      <c r="G56" s="69">
        <f t="shared" si="3"/>
        <v>957391</v>
      </c>
      <c r="H56" s="65">
        <v>423449</v>
      </c>
      <c r="I56" s="66"/>
      <c r="J56" s="69">
        <f t="shared" si="4"/>
        <v>970435</v>
      </c>
      <c r="K56" s="65">
        <f t="shared" si="5"/>
        <v>1927826</v>
      </c>
    </row>
    <row r="57" spans="1:11" ht="13.5" customHeight="1" x14ac:dyDescent="0.35">
      <c r="A57" s="70">
        <v>63001</v>
      </c>
      <c r="B57" s="70" t="s">
        <v>253</v>
      </c>
      <c r="C57" s="67">
        <v>1821916.6723297199</v>
      </c>
      <c r="D57" s="65">
        <v>0</v>
      </c>
      <c r="E57" s="65">
        <v>154387</v>
      </c>
      <c r="F57" s="66"/>
      <c r="G57" s="69">
        <f t="shared" si="3"/>
        <v>756571</v>
      </c>
      <c r="H57" s="65">
        <v>151125</v>
      </c>
      <c r="I57" s="66"/>
      <c r="J57" s="69">
        <f t="shared" si="4"/>
        <v>759833</v>
      </c>
      <c r="K57" s="65">
        <f t="shared" si="5"/>
        <v>1516404</v>
      </c>
    </row>
    <row r="58" spans="1:11" ht="13.5" customHeight="1" x14ac:dyDescent="0.35">
      <c r="A58" s="70">
        <v>53001</v>
      </c>
      <c r="B58" s="70" t="s">
        <v>254</v>
      </c>
      <c r="C58" s="67">
        <v>1623495.6332527609</v>
      </c>
      <c r="D58" s="65">
        <v>0</v>
      </c>
      <c r="E58" s="65">
        <v>333957</v>
      </c>
      <c r="F58" s="66"/>
      <c r="G58" s="69">
        <f t="shared" si="3"/>
        <v>477791</v>
      </c>
      <c r="H58" s="65">
        <v>338223</v>
      </c>
      <c r="I58" s="66"/>
      <c r="J58" s="69">
        <f t="shared" si="4"/>
        <v>473525</v>
      </c>
      <c r="K58" s="65">
        <f t="shared" si="5"/>
        <v>951316</v>
      </c>
    </row>
    <row r="59" spans="1:11" ht="13.5" customHeight="1" x14ac:dyDescent="0.35">
      <c r="A59" s="70">
        <v>26004</v>
      </c>
      <c r="B59" s="70" t="s">
        <v>255</v>
      </c>
      <c r="C59" s="67">
        <v>2296837.9293723321</v>
      </c>
      <c r="D59" s="65">
        <v>0</v>
      </c>
      <c r="E59" s="65">
        <v>355699</v>
      </c>
      <c r="F59" s="66"/>
      <c r="G59" s="69">
        <f t="shared" si="3"/>
        <v>792720</v>
      </c>
      <c r="H59" s="65">
        <v>372074</v>
      </c>
      <c r="I59" s="66"/>
      <c r="J59" s="69">
        <f t="shared" si="4"/>
        <v>776345</v>
      </c>
      <c r="K59" s="65">
        <f t="shared" si="5"/>
        <v>1569065</v>
      </c>
    </row>
    <row r="60" spans="1:11" ht="13.5" customHeight="1" x14ac:dyDescent="0.35">
      <c r="A60" s="71">
        <v>6006</v>
      </c>
      <c r="B60" s="70" t="s">
        <v>256</v>
      </c>
      <c r="C60" s="67">
        <v>3170021.2628341462</v>
      </c>
      <c r="D60" s="65">
        <v>0</v>
      </c>
      <c r="E60" s="65">
        <v>1558611</v>
      </c>
      <c r="F60" s="66"/>
      <c r="G60" s="69">
        <f t="shared" si="3"/>
        <v>26400</v>
      </c>
      <c r="H60" s="65">
        <v>1572236</v>
      </c>
      <c r="I60" s="66"/>
      <c r="J60" s="69">
        <f t="shared" si="4"/>
        <v>12775</v>
      </c>
      <c r="K60" s="65">
        <f t="shared" si="5"/>
        <v>39175</v>
      </c>
    </row>
    <row r="61" spans="1:11" ht="13.5" customHeight="1" x14ac:dyDescent="0.35">
      <c r="A61" s="70">
        <v>27001</v>
      </c>
      <c r="B61" s="70" t="s">
        <v>257</v>
      </c>
      <c r="C61" s="67">
        <v>1945460.3777090479</v>
      </c>
      <c r="D61" s="65">
        <v>0</v>
      </c>
      <c r="E61" s="65">
        <v>447530</v>
      </c>
      <c r="F61" s="66"/>
      <c r="G61" s="69">
        <f t="shared" si="3"/>
        <v>525200</v>
      </c>
      <c r="H61" s="65">
        <v>488764</v>
      </c>
      <c r="I61" s="66"/>
      <c r="J61" s="69">
        <f t="shared" si="4"/>
        <v>483966</v>
      </c>
      <c r="K61" s="65">
        <f t="shared" si="5"/>
        <v>1009166</v>
      </c>
    </row>
    <row r="62" spans="1:11" ht="13.5" customHeight="1" x14ac:dyDescent="0.35">
      <c r="A62" s="70">
        <v>28003</v>
      </c>
      <c r="B62" s="70" t="s">
        <v>258</v>
      </c>
      <c r="C62" s="67">
        <v>4299317.6600556001</v>
      </c>
      <c r="D62" s="65">
        <v>0</v>
      </c>
      <c r="E62" s="65">
        <v>809534</v>
      </c>
      <c r="F62" s="66"/>
      <c r="G62" s="69">
        <f t="shared" si="3"/>
        <v>1340125</v>
      </c>
      <c r="H62" s="65">
        <v>796858</v>
      </c>
      <c r="I62" s="66"/>
      <c r="J62" s="69">
        <f t="shared" si="4"/>
        <v>1352801</v>
      </c>
      <c r="K62" s="65">
        <f t="shared" si="5"/>
        <v>2692926</v>
      </c>
    </row>
    <row r="63" spans="1:11" ht="13.5" customHeight="1" x14ac:dyDescent="0.35">
      <c r="A63" s="70">
        <v>30001</v>
      </c>
      <c r="B63" s="70" t="s">
        <v>259</v>
      </c>
      <c r="C63" s="67">
        <v>2504662.9890507469</v>
      </c>
      <c r="D63" s="65">
        <v>0</v>
      </c>
      <c r="E63" s="65">
        <v>418650</v>
      </c>
      <c r="F63" s="66"/>
      <c r="G63" s="69">
        <f t="shared" si="3"/>
        <v>833681</v>
      </c>
      <c r="H63" s="65">
        <v>403380</v>
      </c>
      <c r="I63" s="66"/>
      <c r="J63" s="69">
        <f t="shared" si="4"/>
        <v>848951</v>
      </c>
      <c r="K63" s="65">
        <f t="shared" si="5"/>
        <v>1682632</v>
      </c>
    </row>
    <row r="64" spans="1:11" ht="13.5" customHeight="1" x14ac:dyDescent="0.35">
      <c r="A64" s="76">
        <v>31001</v>
      </c>
      <c r="B64" s="76" t="s">
        <v>260</v>
      </c>
      <c r="C64" s="75">
        <v>1576132.4312097812</v>
      </c>
      <c r="D64" s="72">
        <v>456115.05</v>
      </c>
      <c r="E64" s="72">
        <v>449119</v>
      </c>
      <c r="F64" s="74"/>
      <c r="G64" s="73">
        <f t="shared" si="3"/>
        <v>110890</v>
      </c>
      <c r="H64" s="72">
        <v>381990</v>
      </c>
      <c r="I64" s="74"/>
      <c r="J64" s="73">
        <f t="shared" si="4"/>
        <v>178019</v>
      </c>
      <c r="K64" s="72">
        <f t="shared" si="5"/>
        <v>288909</v>
      </c>
    </row>
    <row r="65" spans="1:11" ht="13.5" customHeight="1" x14ac:dyDescent="0.35">
      <c r="A65" s="70">
        <v>41002</v>
      </c>
      <c r="B65" s="70" t="s">
        <v>261</v>
      </c>
      <c r="C65" s="67">
        <v>24977212.814840827</v>
      </c>
      <c r="D65" s="65">
        <v>0</v>
      </c>
      <c r="E65" s="65">
        <v>4775959</v>
      </c>
      <c r="F65" s="66"/>
      <c r="G65" s="69">
        <f t="shared" si="3"/>
        <v>7712647</v>
      </c>
      <c r="H65" s="65">
        <v>4983267</v>
      </c>
      <c r="I65" s="66"/>
      <c r="J65" s="69">
        <f t="shared" si="4"/>
        <v>7505339</v>
      </c>
      <c r="K65" s="65">
        <f t="shared" si="5"/>
        <v>15217986</v>
      </c>
    </row>
    <row r="66" spans="1:11" ht="13.5" customHeight="1" x14ac:dyDescent="0.35">
      <c r="A66" s="70">
        <v>14002</v>
      </c>
      <c r="B66" s="70" t="s">
        <v>262</v>
      </c>
      <c r="C66" s="67">
        <v>1130678.0585100001</v>
      </c>
      <c r="D66" s="65">
        <v>0</v>
      </c>
      <c r="E66" s="65">
        <v>123692</v>
      </c>
      <c r="F66" s="66"/>
      <c r="G66" s="69">
        <f t="shared" ref="G66:G97" si="6">IF((0.5*C66)-(0.5*D66)-E66+F66&lt;0,0,ROUND((0.5*C66)-(0.5*D66)-E66+F66,0))</f>
        <v>441647</v>
      </c>
      <c r="H66" s="65">
        <v>120977</v>
      </c>
      <c r="I66" s="66"/>
      <c r="J66" s="69">
        <f t="shared" ref="J66:J97" si="7">IF((0.5*C66)-(0.5*D66)-H66+I66&lt;0,0,ROUND((0.5*C66)-(0.5*D66)-H66+I66,0))</f>
        <v>444362</v>
      </c>
      <c r="K66" s="65">
        <f t="shared" ref="K66:K97" si="8">G66+J66</f>
        <v>886009</v>
      </c>
    </row>
    <row r="67" spans="1:11" ht="13.5" customHeight="1" x14ac:dyDescent="0.35">
      <c r="A67" s="70">
        <v>10001</v>
      </c>
      <c r="B67" s="70" t="s">
        <v>263</v>
      </c>
      <c r="C67" s="67">
        <v>746932.77804600005</v>
      </c>
      <c r="D67" s="65">
        <v>19271.839999999997</v>
      </c>
      <c r="E67" s="65">
        <v>233049</v>
      </c>
      <c r="F67" s="66"/>
      <c r="G67" s="69">
        <f t="shared" si="6"/>
        <v>130781</v>
      </c>
      <c r="H67" s="65">
        <v>286808</v>
      </c>
      <c r="I67" s="66"/>
      <c r="J67" s="69">
        <f t="shared" si="7"/>
        <v>77022</v>
      </c>
      <c r="K67" s="65">
        <f t="shared" si="8"/>
        <v>207803</v>
      </c>
    </row>
    <row r="68" spans="1:11" ht="13.5" customHeight="1" x14ac:dyDescent="0.35">
      <c r="A68" s="70">
        <v>34002</v>
      </c>
      <c r="B68" s="70" t="s">
        <v>264</v>
      </c>
      <c r="C68" s="67">
        <v>1593081.7504</v>
      </c>
      <c r="D68" s="65">
        <v>29371.660000000003</v>
      </c>
      <c r="E68" s="65">
        <v>720136</v>
      </c>
      <c r="F68" s="66"/>
      <c r="G68" s="69">
        <f t="shared" si="6"/>
        <v>61719</v>
      </c>
      <c r="H68" s="65">
        <v>738636</v>
      </c>
      <c r="I68" s="66"/>
      <c r="J68" s="69">
        <f t="shared" si="7"/>
        <v>43219</v>
      </c>
      <c r="K68" s="65">
        <f t="shared" si="8"/>
        <v>104938</v>
      </c>
    </row>
    <row r="69" spans="1:11" ht="13.5" customHeight="1" x14ac:dyDescent="0.35">
      <c r="A69" s="70">
        <v>51002</v>
      </c>
      <c r="B69" s="70" t="s">
        <v>265</v>
      </c>
      <c r="C69" s="67">
        <v>2718596.8184792846</v>
      </c>
      <c r="D69" s="65">
        <v>0</v>
      </c>
      <c r="E69" s="65">
        <v>1435837</v>
      </c>
      <c r="F69" s="66"/>
      <c r="G69" s="69">
        <f t="shared" si="6"/>
        <v>0</v>
      </c>
      <c r="H69" s="65">
        <v>1397143</v>
      </c>
      <c r="I69" s="66"/>
      <c r="J69" s="69">
        <f t="shared" si="7"/>
        <v>0</v>
      </c>
      <c r="K69" s="65">
        <f t="shared" si="8"/>
        <v>0</v>
      </c>
    </row>
    <row r="70" spans="1:11" ht="13.5" customHeight="1" x14ac:dyDescent="0.35">
      <c r="A70" s="70">
        <v>56006</v>
      </c>
      <c r="B70" s="70" t="s">
        <v>266</v>
      </c>
      <c r="C70" s="67">
        <v>1593899.9963250002</v>
      </c>
      <c r="D70" s="65">
        <v>772.01999999998952</v>
      </c>
      <c r="E70" s="65">
        <v>565554</v>
      </c>
      <c r="F70" s="66"/>
      <c r="G70" s="69">
        <f t="shared" si="6"/>
        <v>231010</v>
      </c>
      <c r="H70" s="65">
        <v>655879</v>
      </c>
      <c r="I70" s="66"/>
      <c r="J70" s="69">
        <f t="shared" si="7"/>
        <v>140685</v>
      </c>
      <c r="K70" s="65">
        <f t="shared" si="8"/>
        <v>371695</v>
      </c>
    </row>
    <row r="71" spans="1:11" ht="13.5" customHeight="1" x14ac:dyDescent="0.35">
      <c r="A71" s="70">
        <v>23002</v>
      </c>
      <c r="B71" s="70" t="s">
        <v>267</v>
      </c>
      <c r="C71" s="67">
        <v>4256009.2641175203</v>
      </c>
      <c r="D71" s="65">
        <v>0</v>
      </c>
      <c r="E71" s="65">
        <v>901224</v>
      </c>
      <c r="F71" s="66"/>
      <c r="G71" s="69">
        <f t="shared" si="6"/>
        <v>1226781</v>
      </c>
      <c r="H71" s="65">
        <v>888663</v>
      </c>
      <c r="I71" s="66"/>
      <c r="J71" s="69">
        <f t="shared" si="7"/>
        <v>1239342</v>
      </c>
      <c r="K71" s="65">
        <f t="shared" si="8"/>
        <v>2466123</v>
      </c>
    </row>
    <row r="72" spans="1:11" ht="13.5" customHeight="1" x14ac:dyDescent="0.35">
      <c r="A72" s="76">
        <v>53002</v>
      </c>
      <c r="B72" s="76" t="s">
        <v>268</v>
      </c>
      <c r="C72" s="75">
        <v>700377.03482142859</v>
      </c>
      <c r="D72" s="72">
        <v>147560.16999999998</v>
      </c>
      <c r="E72" s="72">
        <v>549027</v>
      </c>
      <c r="F72" s="74"/>
      <c r="G72" s="73">
        <f t="shared" si="6"/>
        <v>0</v>
      </c>
      <c r="H72" s="72">
        <v>563574</v>
      </c>
      <c r="I72" s="74"/>
      <c r="J72" s="73">
        <f t="shared" si="7"/>
        <v>0</v>
      </c>
      <c r="K72" s="72">
        <f t="shared" si="8"/>
        <v>0</v>
      </c>
    </row>
    <row r="73" spans="1:11" ht="13.5" customHeight="1" x14ac:dyDescent="0.35">
      <c r="A73" s="70">
        <v>48003</v>
      </c>
      <c r="B73" s="70" t="s">
        <v>269</v>
      </c>
      <c r="C73" s="67">
        <v>2270479.9677797169</v>
      </c>
      <c r="D73" s="65">
        <v>0</v>
      </c>
      <c r="E73" s="65">
        <v>794905</v>
      </c>
      <c r="F73" s="66"/>
      <c r="G73" s="69">
        <f t="shared" si="6"/>
        <v>340335</v>
      </c>
      <c r="H73" s="65">
        <v>772915</v>
      </c>
      <c r="I73" s="66"/>
      <c r="J73" s="69">
        <f t="shared" si="7"/>
        <v>362325</v>
      </c>
      <c r="K73" s="65">
        <f t="shared" si="8"/>
        <v>702660</v>
      </c>
    </row>
    <row r="74" spans="1:11" ht="13.5" customHeight="1" x14ac:dyDescent="0.35">
      <c r="A74" s="70">
        <v>2002</v>
      </c>
      <c r="B74" s="70" t="s">
        <v>270</v>
      </c>
      <c r="C74" s="67">
        <v>15209788.464865696</v>
      </c>
      <c r="D74" s="65">
        <v>0</v>
      </c>
      <c r="E74" s="65">
        <v>2193511</v>
      </c>
      <c r="F74" s="66"/>
      <c r="G74" s="69">
        <f t="shared" si="6"/>
        <v>5411383</v>
      </c>
      <c r="H74" s="65">
        <v>2189747</v>
      </c>
      <c r="I74" s="66"/>
      <c r="J74" s="69">
        <f t="shared" si="7"/>
        <v>5415147</v>
      </c>
      <c r="K74" s="65">
        <f t="shared" si="8"/>
        <v>10826530</v>
      </c>
    </row>
    <row r="75" spans="1:11" ht="13.5" customHeight="1" x14ac:dyDescent="0.35">
      <c r="A75" s="70">
        <v>22006</v>
      </c>
      <c r="B75" s="70" t="s">
        <v>271</v>
      </c>
      <c r="C75" s="67">
        <v>2485180.8108615922</v>
      </c>
      <c r="D75" s="65">
        <v>0</v>
      </c>
      <c r="E75" s="65">
        <v>892561</v>
      </c>
      <c r="F75" s="66"/>
      <c r="G75" s="69">
        <f t="shared" si="6"/>
        <v>350029</v>
      </c>
      <c r="H75" s="65">
        <v>934261</v>
      </c>
      <c r="I75" s="66"/>
      <c r="J75" s="69">
        <f t="shared" si="7"/>
        <v>308329</v>
      </c>
      <c r="K75" s="65">
        <f t="shared" si="8"/>
        <v>658358</v>
      </c>
    </row>
    <row r="76" spans="1:11" ht="13.5" customHeight="1" x14ac:dyDescent="0.35">
      <c r="A76" s="70">
        <v>13003</v>
      </c>
      <c r="B76" s="70" t="s">
        <v>272</v>
      </c>
      <c r="C76" s="67">
        <v>1915155.2808462656</v>
      </c>
      <c r="D76" s="65">
        <v>0</v>
      </c>
      <c r="E76" s="65">
        <v>494330</v>
      </c>
      <c r="F76" s="66"/>
      <c r="G76" s="69">
        <f t="shared" si="6"/>
        <v>463248</v>
      </c>
      <c r="H76" s="65">
        <v>487770</v>
      </c>
      <c r="I76" s="66"/>
      <c r="J76" s="69">
        <f t="shared" si="7"/>
        <v>469808</v>
      </c>
      <c r="K76" s="65">
        <f t="shared" si="8"/>
        <v>933056</v>
      </c>
    </row>
    <row r="77" spans="1:11" ht="13.5" customHeight="1" x14ac:dyDescent="0.35">
      <c r="A77" s="70">
        <v>2003</v>
      </c>
      <c r="B77" s="70" t="s">
        <v>273</v>
      </c>
      <c r="C77" s="67">
        <v>1489878.4382260656</v>
      </c>
      <c r="D77" s="65">
        <v>26071.199999999997</v>
      </c>
      <c r="E77" s="65">
        <v>529484</v>
      </c>
      <c r="F77" s="66"/>
      <c r="G77" s="69">
        <f t="shared" si="6"/>
        <v>202420</v>
      </c>
      <c r="H77" s="65">
        <v>573762</v>
      </c>
      <c r="I77" s="66"/>
      <c r="J77" s="69">
        <f t="shared" si="7"/>
        <v>158142</v>
      </c>
      <c r="K77" s="65">
        <f t="shared" si="8"/>
        <v>360562</v>
      </c>
    </row>
    <row r="78" spans="1:11" ht="13.5" customHeight="1" x14ac:dyDescent="0.35">
      <c r="A78" s="70">
        <v>37003</v>
      </c>
      <c r="B78" s="70" t="s">
        <v>274</v>
      </c>
      <c r="C78" s="67">
        <v>1283422.38532326</v>
      </c>
      <c r="D78" s="65">
        <v>0</v>
      </c>
      <c r="E78" s="65">
        <v>311695</v>
      </c>
      <c r="F78" s="66"/>
      <c r="G78" s="69">
        <f t="shared" si="6"/>
        <v>330016</v>
      </c>
      <c r="H78" s="65">
        <v>313429</v>
      </c>
      <c r="I78" s="66"/>
      <c r="J78" s="69">
        <f t="shared" si="7"/>
        <v>328282</v>
      </c>
      <c r="K78" s="65">
        <f t="shared" si="8"/>
        <v>658298</v>
      </c>
    </row>
    <row r="79" spans="1:11" ht="13.5" customHeight="1" x14ac:dyDescent="0.35">
      <c r="A79" s="70">
        <v>35002</v>
      </c>
      <c r="B79" s="70" t="s">
        <v>275</v>
      </c>
      <c r="C79" s="67">
        <v>2050207.0733268296</v>
      </c>
      <c r="D79" s="65">
        <v>0</v>
      </c>
      <c r="E79" s="65">
        <v>347952</v>
      </c>
      <c r="F79" s="66"/>
      <c r="G79" s="69">
        <f t="shared" si="6"/>
        <v>677152</v>
      </c>
      <c r="H79" s="65">
        <v>364572</v>
      </c>
      <c r="I79" s="66"/>
      <c r="J79" s="69">
        <f t="shared" si="7"/>
        <v>660532</v>
      </c>
      <c r="K79" s="65">
        <f t="shared" si="8"/>
        <v>1337684</v>
      </c>
    </row>
    <row r="80" spans="1:11" ht="13.5" customHeight="1" x14ac:dyDescent="0.35">
      <c r="A80" s="70">
        <v>7002</v>
      </c>
      <c r="B80" s="70" t="s">
        <v>276</v>
      </c>
      <c r="C80" s="67">
        <v>1965408.8842054862</v>
      </c>
      <c r="D80" s="65">
        <v>0</v>
      </c>
      <c r="E80" s="65">
        <v>431172</v>
      </c>
      <c r="F80" s="66"/>
      <c r="G80" s="69">
        <f t="shared" si="6"/>
        <v>551532</v>
      </c>
      <c r="H80" s="65">
        <v>465614</v>
      </c>
      <c r="I80" s="66"/>
      <c r="J80" s="69">
        <f t="shared" si="7"/>
        <v>517090</v>
      </c>
      <c r="K80" s="65">
        <f t="shared" si="8"/>
        <v>1068622</v>
      </c>
    </row>
    <row r="81" spans="1:11" ht="13.5" customHeight="1" x14ac:dyDescent="0.35">
      <c r="A81" s="70">
        <v>38003</v>
      </c>
      <c r="B81" s="70" t="s">
        <v>277</v>
      </c>
      <c r="C81" s="67">
        <v>1075857.304158</v>
      </c>
      <c r="D81" s="65">
        <v>0</v>
      </c>
      <c r="E81" s="65">
        <v>332749</v>
      </c>
      <c r="F81" s="66"/>
      <c r="G81" s="69">
        <f t="shared" si="6"/>
        <v>205180</v>
      </c>
      <c r="H81" s="65">
        <v>327639</v>
      </c>
      <c r="I81" s="66"/>
      <c r="J81" s="69">
        <f t="shared" si="7"/>
        <v>210290</v>
      </c>
      <c r="K81" s="65">
        <f t="shared" si="8"/>
        <v>415470</v>
      </c>
    </row>
    <row r="82" spans="1:11" ht="13.5" customHeight="1" x14ac:dyDescent="0.35">
      <c r="A82" s="70">
        <v>45005</v>
      </c>
      <c r="B82" s="70" t="s">
        <v>278</v>
      </c>
      <c r="C82" s="67">
        <v>1400442.8513502185</v>
      </c>
      <c r="D82" s="65">
        <v>0</v>
      </c>
      <c r="E82" s="65">
        <v>511433</v>
      </c>
      <c r="F82" s="66"/>
      <c r="G82" s="69">
        <f t="shared" si="6"/>
        <v>188788</v>
      </c>
      <c r="H82" s="65">
        <v>503422</v>
      </c>
      <c r="I82" s="66"/>
      <c r="J82" s="69">
        <f t="shared" si="7"/>
        <v>196799</v>
      </c>
      <c r="K82" s="65">
        <f t="shared" si="8"/>
        <v>385587</v>
      </c>
    </row>
    <row r="83" spans="1:11" ht="13.5" customHeight="1" x14ac:dyDescent="0.35">
      <c r="A83" s="70">
        <v>40001</v>
      </c>
      <c r="B83" s="70" t="s">
        <v>279</v>
      </c>
      <c r="C83" s="67">
        <v>4325357.5183728002</v>
      </c>
      <c r="D83" s="65">
        <v>0</v>
      </c>
      <c r="E83" s="65">
        <v>2733455</v>
      </c>
      <c r="F83" s="66"/>
      <c r="G83" s="69">
        <f t="shared" si="6"/>
        <v>0</v>
      </c>
      <c r="H83" s="65">
        <v>2610953</v>
      </c>
      <c r="I83" s="66">
        <v>-56953.22</v>
      </c>
      <c r="J83" s="69">
        <f t="shared" si="7"/>
        <v>0</v>
      </c>
      <c r="K83" s="65">
        <f t="shared" si="8"/>
        <v>0</v>
      </c>
    </row>
    <row r="84" spans="1:11" ht="13.5" customHeight="1" x14ac:dyDescent="0.35">
      <c r="A84" s="70">
        <v>52004</v>
      </c>
      <c r="B84" s="70" t="s">
        <v>280</v>
      </c>
      <c r="C84" s="67">
        <v>1639703.9848278607</v>
      </c>
      <c r="D84" s="65">
        <v>1003.1800000000221</v>
      </c>
      <c r="E84" s="65">
        <v>385032</v>
      </c>
      <c r="F84" s="66"/>
      <c r="G84" s="69">
        <f t="shared" si="6"/>
        <v>434318</v>
      </c>
      <c r="H84" s="65">
        <v>431405</v>
      </c>
      <c r="I84" s="66"/>
      <c r="J84" s="69">
        <f t="shared" si="7"/>
        <v>387945</v>
      </c>
      <c r="K84" s="65">
        <f t="shared" si="8"/>
        <v>822263</v>
      </c>
    </row>
    <row r="85" spans="1:11" ht="13.5" customHeight="1" x14ac:dyDescent="0.35">
      <c r="A85" s="70">
        <v>41004</v>
      </c>
      <c r="B85" s="70" t="s">
        <v>281</v>
      </c>
      <c r="C85" s="67">
        <v>5916529.9134395998</v>
      </c>
      <c r="D85" s="65">
        <v>0</v>
      </c>
      <c r="E85" s="65">
        <v>1094493</v>
      </c>
      <c r="F85" s="66"/>
      <c r="G85" s="69">
        <f t="shared" si="6"/>
        <v>1863772</v>
      </c>
      <c r="H85" s="65">
        <v>1105930</v>
      </c>
      <c r="I85" s="66"/>
      <c r="J85" s="69">
        <f t="shared" si="7"/>
        <v>1852335</v>
      </c>
      <c r="K85" s="65">
        <f t="shared" si="8"/>
        <v>3716107</v>
      </c>
    </row>
    <row r="86" spans="1:11" ht="13.5" customHeight="1" x14ac:dyDescent="0.35">
      <c r="A86" s="70">
        <v>44002</v>
      </c>
      <c r="B86" s="70" t="s">
        <v>282</v>
      </c>
      <c r="C86" s="67">
        <v>1436351.64241048</v>
      </c>
      <c r="D86" s="65">
        <v>0</v>
      </c>
      <c r="E86" s="65">
        <v>374771</v>
      </c>
      <c r="F86" s="66"/>
      <c r="G86" s="69">
        <f t="shared" si="6"/>
        <v>343405</v>
      </c>
      <c r="H86" s="65">
        <v>355577</v>
      </c>
      <c r="I86" s="66"/>
      <c r="J86" s="69">
        <f t="shared" si="7"/>
        <v>362599</v>
      </c>
      <c r="K86" s="65">
        <f t="shared" si="8"/>
        <v>706004</v>
      </c>
    </row>
    <row r="87" spans="1:11" ht="13.5" customHeight="1" x14ac:dyDescent="0.35">
      <c r="A87" s="70">
        <v>42001</v>
      </c>
      <c r="B87" s="70" t="s">
        <v>283</v>
      </c>
      <c r="C87" s="67">
        <v>2272298.5382595696</v>
      </c>
      <c r="D87" s="65">
        <v>0</v>
      </c>
      <c r="E87" s="65">
        <v>560608</v>
      </c>
      <c r="F87" s="66"/>
      <c r="G87" s="69">
        <f t="shared" si="6"/>
        <v>575541</v>
      </c>
      <c r="H87" s="65">
        <v>559383</v>
      </c>
      <c r="I87" s="66"/>
      <c r="J87" s="69">
        <f t="shared" si="7"/>
        <v>576766</v>
      </c>
      <c r="K87" s="65">
        <f t="shared" si="8"/>
        <v>1152307</v>
      </c>
    </row>
    <row r="88" spans="1:11" ht="13.5" customHeight="1" x14ac:dyDescent="0.35">
      <c r="A88" s="70">
        <v>39002</v>
      </c>
      <c r="B88" s="70" t="s">
        <v>284</v>
      </c>
      <c r="C88" s="67">
        <v>6711704.9553153608</v>
      </c>
      <c r="D88" s="65">
        <v>4762.679999999993</v>
      </c>
      <c r="E88" s="65">
        <v>1621399</v>
      </c>
      <c r="F88" s="66"/>
      <c r="G88" s="69">
        <f t="shared" si="6"/>
        <v>1732072</v>
      </c>
      <c r="H88" s="65">
        <v>1599386</v>
      </c>
      <c r="I88" s="66"/>
      <c r="J88" s="69">
        <f t="shared" si="7"/>
        <v>1754085</v>
      </c>
      <c r="K88" s="65">
        <f t="shared" si="8"/>
        <v>3486157</v>
      </c>
    </row>
    <row r="89" spans="1:11" ht="13.5" customHeight="1" x14ac:dyDescent="0.35">
      <c r="A89" s="70">
        <v>60003</v>
      </c>
      <c r="B89" s="70" t="s">
        <v>285</v>
      </c>
      <c r="C89" s="67">
        <v>1198861.3717352999</v>
      </c>
      <c r="D89" s="65">
        <v>0</v>
      </c>
      <c r="E89" s="65">
        <v>319599</v>
      </c>
      <c r="F89" s="66"/>
      <c r="G89" s="69">
        <f t="shared" si="6"/>
        <v>279832</v>
      </c>
      <c r="H89" s="65">
        <v>308909</v>
      </c>
      <c r="I89" s="66"/>
      <c r="J89" s="69">
        <f t="shared" si="7"/>
        <v>290522</v>
      </c>
      <c r="K89" s="65">
        <f t="shared" si="8"/>
        <v>570354</v>
      </c>
    </row>
    <row r="90" spans="1:11" ht="13.5" customHeight="1" x14ac:dyDescent="0.35">
      <c r="A90" s="70">
        <v>43007</v>
      </c>
      <c r="B90" s="70" t="s">
        <v>286</v>
      </c>
      <c r="C90" s="67">
        <v>2352552.4357925057</v>
      </c>
      <c r="D90" s="65">
        <v>0</v>
      </c>
      <c r="E90" s="65">
        <v>442347</v>
      </c>
      <c r="F90" s="66"/>
      <c r="G90" s="69">
        <f t="shared" si="6"/>
        <v>733929</v>
      </c>
      <c r="H90" s="65">
        <v>429018</v>
      </c>
      <c r="I90" s="66"/>
      <c r="J90" s="69">
        <f t="shared" si="7"/>
        <v>747258</v>
      </c>
      <c r="K90" s="65">
        <f t="shared" si="8"/>
        <v>1481187</v>
      </c>
    </row>
    <row r="91" spans="1:11" ht="13.5" customHeight="1" x14ac:dyDescent="0.35">
      <c r="A91" s="70">
        <v>15001</v>
      </c>
      <c r="B91" s="70" t="s">
        <v>287</v>
      </c>
      <c r="C91" s="67">
        <v>1212909.190038</v>
      </c>
      <c r="D91" s="65">
        <v>0</v>
      </c>
      <c r="E91" s="65">
        <v>105545</v>
      </c>
      <c r="F91" s="66"/>
      <c r="G91" s="69">
        <f t="shared" si="6"/>
        <v>500910</v>
      </c>
      <c r="H91" s="65">
        <v>116958</v>
      </c>
      <c r="I91" s="66"/>
      <c r="J91" s="69">
        <f t="shared" si="7"/>
        <v>489497</v>
      </c>
      <c r="K91" s="65">
        <f t="shared" si="8"/>
        <v>990407</v>
      </c>
    </row>
    <row r="92" spans="1:11" ht="13.5" customHeight="1" x14ac:dyDescent="0.35">
      <c r="A92" s="70">
        <v>15002</v>
      </c>
      <c r="B92" s="70" t="s">
        <v>288</v>
      </c>
      <c r="C92" s="67">
        <v>2628023.6499976888</v>
      </c>
      <c r="D92" s="65">
        <v>0</v>
      </c>
      <c r="E92" s="65">
        <v>155214</v>
      </c>
      <c r="F92" s="66"/>
      <c r="G92" s="69">
        <f t="shared" si="6"/>
        <v>1158798</v>
      </c>
      <c r="H92" s="65">
        <v>171361</v>
      </c>
      <c r="I92" s="66"/>
      <c r="J92" s="69">
        <f t="shared" si="7"/>
        <v>1142651</v>
      </c>
      <c r="K92" s="65">
        <f t="shared" si="8"/>
        <v>2301449</v>
      </c>
    </row>
    <row r="93" spans="1:11" ht="13.5" customHeight="1" x14ac:dyDescent="0.35">
      <c r="A93" s="70">
        <v>46001</v>
      </c>
      <c r="B93" s="70" t="s">
        <v>289</v>
      </c>
      <c r="C93" s="67">
        <v>15489604.142157599</v>
      </c>
      <c r="D93" s="65">
        <v>0</v>
      </c>
      <c r="E93" s="65">
        <v>3514216</v>
      </c>
      <c r="F93" s="66"/>
      <c r="G93" s="69">
        <f t="shared" si="6"/>
        <v>4230586</v>
      </c>
      <c r="H93" s="65">
        <v>3282702</v>
      </c>
      <c r="I93" s="66">
        <v>-11407.97</v>
      </c>
      <c r="J93" s="69">
        <f t="shared" si="7"/>
        <v>4450692</v>
      </c>
      <c r="K93" s="65">
        <f t="shared" si="8"/>
        <v>8681278</v>
      </c>
    </row>
    <row r="94" spans="1:11" ht="13.5" customHeight="1" x14ac:dyDescent="0.35">
      <c r="A94" s="70">
        <v>33002</v>
      </c>
      <c r="B94" s="70" t="s">
        <v>290</v>
      </c>
      <c r="C94" s="67">
        <v>1861621.4498699999</v>
      </c>
      <c r="D94" s="65">
        <v>0</v>
      </c>
      <c r="E94" s="65">
        <v>363953</v>
      </c>
      <c r="F94" s="66"/>
      <c r="G94" s="69">
        <f t="shared" si="6"/>
        <v>566858</v>
      </c>
      <c r="H94" s="65">
        <v>348400</v>
      </c>
      <c r="I94" s="66"/>
      <c r="J94" s="69">
        <f t="shared" si="7"/>
        <v>582411</v>
      </c>
      <c r="K94" s="65">
        <f t="shared" si="8"/>
        <v>1149269</v>
      </c>
    </row>
    <row r="95" spans="1:11" ht="13.5" customHeight="1" x14ac:dyDescent="0.35">
      <c r="A95" s="70">
        <v>25004</v>
      </c>
      <c r="B95" s="70" t="s">
        <v>291</v>
      </c>
      <c r="C95" s="67">
        <v>5277868.1252388004</v>
      </c>
      <c r="D95" s="65">
        <v>0</v>
      </c>
      <c r="E95" s="65">
        <v>1271118</v>
      </c>
      <c r="F95" s="66"/>
      <c r="G95" s="69">
        <f t="shared" si="6"/>
        <v>1367816</v>
      </c>
      <c r="H95" s="65">
        <v>1417050</v>
      </c>
      <c r="I95" s="66"/>
      <c r="J95" s="69">
        <f t="shared" si="7"/>
        <v>1221884</v>
      </c>
      <c r="K95" s="65">
        <f t="shared" si="8"/>
        <v>2589700</v>
      </c>
    </row>
    <row r="96" spans="1:11" ht="13.5" customHeight="1" x14ac:dyDescent="0.35">
      <c r="A96" s="70">
        <v>29004</v>
      </c>
      <c r="B96" s="70" t="s">
        <v>292</v>
      </c>
      <c r="C96" s="67">
        <v>2745667.2282353397</v>
      </c>
      <c r="D96" s="65">
        <v>0</v>
      </c>
      <c r="E96" s="65">
        <v>1131954</v>
      </c>
      <c r="F96" s="66"/>
      <c r="G96" s="69">
        <f t="shared" si="6"/>
        <v>240880</v>
      </c>
      <c r="H96" s="65">
        <v>1125028</v>
      </c>
      <c r="I96" s="66"/>
      <c r="J96" s="69">
        <f t="shared" si="7"/>
        <v>247806</v>
      </c>
      <c r="K96" s="65">
        <f t="shared" si="8"/>
        <v>488686</v>
      </c>
    </row>
    <row r="97" spans="1:11" ht="13.5" customHeight="1" x14ac:dyDescent="0.35">
      <c r="A97" s="70">
        <v>17002</v>
      </c>
      <c r="B97" s="70" t="s">
        <v>293</v>
      </c>
      <c r="C97" s="67">
        <v>15354690.265697327</v>
      </c>
      <c r="D97" s="65">
        <v>0</v>
      </c>
      <c r="E97" s="65">
        <v>3064467</v>
      </c>
      <c r="F97" s="66"/>
      <c r="G97" s="69">
        <f t="shared" si="6"/>
        <v>4612878</v>
      </c>
      <c r="H97" s="65">
        <v>2890312</v>
      </c>
      <c r="I97" s="66"/>
      <c r="J97" s="69">
        <f t="shared" si="7"/>
        <v>4787033</v>
      </c>
      <c r="K97" s="65">
        <f t="shared" si="8"/>
        <v>9399911</v>
      </c>
    </row>
    <row r="98" spans="1:11" ht="13.5" customHeight="1" x14ac:dyDescent="0.35">
      <c r="A98" s="70">
        <v>62006</v>
      </c>
      <c r="B98" s="70" t="s">
        <v>294</v>
      </c>
      <c r="C98" s="67">
        <v>3437370.9393791044</v>
      </c>
      <c r="D98" s="65">
        <v>0</v>
      </c>
      <c r="E98" s="65">
        <v>529852</v>
      </c>
      <c r="F98" s="66"/>
      <c r="G98" s="69">
        <f t="shared" ref="G98:G129" si="9">IF((0.5*C98)-(0.5*D98)-E98+F98&lt;0,0,ROUND((0.5*C98)-(0.5*D98)-E98+F98,0))</f>
        <v>1188833</v>
      </c>
      <c r="H98" s="65">
        <v>532555</v>
      </c>
      <c r="I98" s="66"/>
      <c r="J98" s="69">
        <f t="shared" ref="J98:J129" si="10">IF((0.5*C98)-(0.5*D98)-H98+I98&lt;0,0,ROUND((0.5*C98)-(0.5*D98)-H98+I98,0))</f>
        <v>1186130</v>
      </c>
      <c r="K98" s="65">
        <f t="shared" ref="K98:K129" si="11">G98+J98</f>
        <v>2374963</v>
      </c>
    </row>
    <row r="99" spans="1:11" ht="13.5" customHeight="1" x14ac:dyDescent="0.35">
      <c r="A99" s="70">
        <v>43002</v>
      </c>
      <c r="B99" s="70" t="s">
        <v>295</v>
      </c>
      <c r="C99" s="67">
        <v>1673878.0967999999</v>
      </c>
      <c r="D99" s="65">
        <v>1113.3400000000111</v>
      </c>
      <c r="E99" s="65">
        <v>194396</v>
      </c>
      <c r="F99" s="66"/>
      <c r="G99" s="69">
        <f t="shared" si="9"/>
        <v>641986</v>
      </c>
      <c r="H99" s="65">
        <v>218882</v>
      </c>
      <c r="I99" s="66"/>
      <c r="J99" s="69">
        <f t="shared" si="10"/>
        <v>617500</v>
      </c>
      <c r="K99" s="65">
        <f t="shared" si="11"/>
        <v>1259486</v>
      </c>
    </row>
    <row r="100" spans="1:11" ht="13.5" customHeight="1" x14ac:dyDescent="0.35">
      <c r="A100" s="70">
        <v>17003</v>
      </c>
      <c r="B100" s="70" t="s">
        <v>296</v>
      </c>
      <c r="C100" s="67">
        <v>1461321.0370610524</v>
      </c>
      <c r="D100" s="65">
        <v>0</v>
      </c>
      <c r="E100" s="65">
        <v>244528</v>
      </c>
      <c r="F100" s="66"/>
      <c r="G100" s="69">
        <f t="shared" si="9"/>
        <v>486133</v>
      </c>
      <c r="H100" s="65">
        <v>234712</v>
      </c>
      <c r="I100" s="66"/>
      <c r="J100" s="69">
        <f t="shared" si="10"/>
        <v>495949</v>
      </c>
      <c r="K100" s="65">
        <f t="shared" si="11"/>
        <v>982082</v>
      </c>
    </row>
    <row r="101" spans="1:11" ht="13.5" customHeight="1" x14ac:dyDescent="0.35">
      <c r="A101" s="70">
        <v>51003</v>
      </c>
      <c r="B101" s="70" t="s">
        <v>297</v>
      </c>
      <c r="C101" s="67">
        <v>1594054.9219029932</v>
      </c>
      <c r="D101" s="65">
        <v>0</v>
      </c>
      <c r="E101" s="65">
        <v>158766</v>
      </c>
      <c r="F101" s="66"/>
      <c r="G101" s="69">
        <f t="shared" si="9"/>
        <v>638261</v>
      </c>
      <c r="H101" s="65">
        <v>157436</v>
      </c>
      <c r="I101" s="66"/>
      <c r="J101" s="69">
        <f t="shared" si="10"/>
        <v>639591</v>
      </c>
      <c r="K101" s="65">
        <f t="shared" si="11"/>
        <v>1277852</v>
      </c>
    </row>
    <row r="102" spans="1:11" ht="13.5" customHeight="1" x14ac:dyDescent="0.35">
      <c r="A102" s="70">
        <v>9002</v>
      </c>
      <c r="B102" s="70" t="s">
        <v>298</v>
      </c>
      <c r="C102" s="67">
        <v>1892158.4244425532</v>
      </c>
      <c r="D102" s="65">
        <v>0</v>
      </c>
      <c r="E102" s="65">
        <v>307507</v>
      </c>
      <c r="F102" s="66"/>
      <c r="G102" s="69">
        <f t="shared" si="9"/>
        <v>638572</v>
      </c>
      <c r="H102" s="65">
        <v>314228</v>
      </c>
      <c r="I102" s="66"/>
      <c r="J102" s="69">
        <f t="shared" si="10"/>
        <v>631851</v>
      </c>
      <c r="K102" s="65">
        <f t="shared" si="11"/>
        <v>1270423</v>
      </c>
    </row>
    <row r="103" spans="1:11" ht="13.5" customHeight="1" x14ac:dyDescent="0.35">
      <c r="A103" s="70">
        <v>56007</v>
      </c>
      <c r="B103" s="70" t="s">
        <v>299</v>
      </c>
      <c r="C103" s="67">
        <v>1683732.9631690446</v>
      </c>
      <c r="D103" s="65">
        <v>0</v>
      </c>
      <c r="E103" s="65">
        <v>711158</v>
      </c>
      <c r="F103" s="66"/>
      <c r="G103" s="69">
        <f t="shared" si="9"/>
        <v>130708</v>
      </c>
      <c r="H103" s="65">
        <v>759331</v>
      </c>
      <c r="I103" s="66"/>
      <c r="J103" s="69">
        <f t="shared" si="10"/>
        <v>82535</v>
      </c>
      <c r="K103" s="65">
        <f t="shared" si="11"/>
        <v>213243</v>
      </c>
    </row>
    <row r="104" spans="1:11" ht="13.5" customHeight="1" x14ac:dyDescent="0.35">
      <c r="A104" s="70">
        <v>23003</v>
      </c>
      <c r="B104" s="70" t="s">
        <v>300</v>
      </c>
      <c r="C104" s="67">
        <v>918247.635396</v>
      </c>
      <c r="D104" s="65">
        <v>2048.6100000000006</v>
      </c>
      <c r="E104" s="65">
        <v>64896</v>
      </c>
      <c r="F104" s="66"/>
      <c r="G104" s="69">
        <f t="shared" si="9"/>
        <v>393204</v>
      </c>
      <c r="H104" s="65">
        <v>65447</v>
      </c>
      <c r="I104" s="66"/>
      <c r="J104" s="69">
        <f t="shared" si="10"/>
        <v>392653</v>
      </c>
      <c r="K104" s="65">
        <f t="shared" si="11"/>
        <v>785857</v>
      </c>
    </row>
    <row r="105" spans="1:11" ht="13.5" customHeight="1" x14ac:dyDescent="0.35">
      <c r="A105" s="70">
        <v>65001</v>
      </c>
      <c r="B105" s="70" t="s">
        <v>373</v>
      </c>
      <c r="C105" s="67">
        <v>7534071.0913497116</v>
      </c>
      <c r="D105" s="65">
        <v>0</v>
      </c>
      <c r="E105" s="65">
        <v>47763</v>
      </c>
      <c r="F105" s="66"/>
      <c r="G105" s="69">
        <f t="shared" si="9"/>
        <v>3719273</v>
      </c>
      <c r="H105" s="65">
        <v>50127</v>
      </c>
      <c r="I105" s="66"/>
      <c r="J105" s="69">
        <f t="shared" si="10"/>
        <v>3716909</v>
      </c>
      <c r="K105" s="65">
        <f t="shared" si="11"/>
        <v>7436182</v>
      </c>
    </row>
    <row r="106" spans="1:11" ht="13.5" customHeight="1" x14ac:dyDescent="0.35">
      <c r="A106" s="70">
        <v>39005</v>
      </c>
      <c r="B106" s="70" t="s">
        <v>302</v>
      </c>
      <c r="C106" s="67">
        <v>1075857.304158</v>
      </c>
      <c r="D106" s="65">
        <v>0</v>
      </c>
      <c r="E106" s="65">
        <v>272213</v>
      </c>
      <c r="F106" s="66"/>
      <c r="G106" s="69">
        <f t="shared" si="9"/>
        <v>265716</v>
      </c>
      <c r="H106" s="65">
        <v>260775</v>
      </c>
      <c r="I106" s="66"/>
      <c r="J106" s="69">
        <f t="shared" si="10"/>
        <v>277154</v>
      </c>
      <c r="K106" s="65">
        <f t="shared" si="11"/>
        <v>542870</v>
      </c>
    </row>
    <row r="107" spans="1:11" ht="13.5" customHeight="1" x14ac:dyDescent="0.35">
      <c r="A107" s="70">
        <v>60004</v>
      </c>
      <c r="B107" s="70" t="s">
        <v>303</v>
      </c>
      <c r="C107" s="67">
        <v>2639848.4858970684</v>
      </c>
      <c r="D107" s="65">
        <v>0</v>
      </c>
      <c r="E107" s="65">
        <v>409463</v>
      </c>
      <c r="F107" s="66"/>
      <c r="G107" s="69">
        <f t="shared" si="9"/>
        <v>910461</v>
      </c>
      <c r="H107" s="65">
        <v>402346</v>
      </c>
      <c r="I107" s="66"/>
      <c r="J107" s="69">
        <f t="shared" si="10"/>
        <v>917578</v>
      </c>
      <c r="K107" s="65">
        <f t="shared" si="11"/>
        <v>1828039</v>
      </c>
    </row>
    <row r="108" spans="1:11" ht="13.5" customHeight="1" x14ac:dyDescent="0.35">
      <c r="A108" s="70">
        <v>33003</v>
      </c>
      <c r="B108" s="70" t="s">
        <v>304</v>
      </c>
      <c r="C108" s="67">
        <v>3028856.5808020504</v>
      </c>
      <c r="D108" s="65">
        <v>0</v>
      </c>
      <c r="E108" s="65">
        <v>540567</v>
      </c>
      <c r="F108" s="66"/>
      <c r="G108" s="69">
        <f t="shared" si="9"/>
        <v>973861</v>
      </c>
      <c r="H108" s="65">
        <v>520028</v>
      </c>
      <c r="I108" s="66"/>
      <c r="J108" s="69">
        <f t="shared" si="10"/>
        <v>994400</v>
      </c>
      <c r="K108" s="65">
        <f t="shared" si="11"/>
        <v>1968261</v>
      </c>
    </row>
    <row r="109" spans="1:11" ht="13.5" customHeight="1" x14ac:dyDescent="0.35">
      <c r="A109" s="70">
        <v>32002</v>
      </c>
      <c r="B109" s="70" t="s">
        <v>305</v>
      </c>
      <c r="C109" s="67">
        <v>14905631.985697586</v>
      </c>
      <c r="D109" s="65">
        <v>0</v>
      </c>
      <c r="E109" s="65">
        <v>2858413</v>
      </c>
      <c r="F109" s="66"/>
      <c r="G109" s="69">
        <f t="shared" si="9"/>
        <v>4594403</v>
      </c>
      <c r="H109" s="65">
        <v>2724087</v>
      </c>
      <c r="I109" s="66"/>
      <c r="J109" s="69">
        <f t="shared" si="10"/>
        <v>4728729</v>
      </c>
      <c r="K109" s="65">
        <f t="shared" si="11"/>
        <v>9323132</v>
      </c>
    </row>
    <row r="110" spans="1:11" ht="13.5" customHeight="1" x14ac:dyDescent="0.35">
      <c r="A110" s="70">
        <v>1001</v>
      </c>
      <c r="B110" s="70" t="s">
        <v>306</v>
      </c>
      <c r="C110" s="67">
        <v>2002177.9718209389</v>
      </c>
      <c r="D110" s="65">
        <v>0</v>
      </c>
      <c r="E110" s="65">
        <v>329206</v>
      </c>
      <c r="F110" s="66"/>
      <c r="G110" s="69">
        <f t="shared" si="9"/>
        <v>671883</v>
      </c>
      <c r="H110" s="65">
        <v>301958</v>
      </c>
      <c r="I110" s="66"/>
      <c r="J110" s="69">
        <f t="shared" si="10"/>
        <v>699131</v>
      </c>
      <c r="K110" s="65">
        <f t="shared" si="11"/>
        <v>1371014</v>
      </c>
    </row>
    <row r="111" spans="1:11" ht="13.5" customHeight="1" x14ac:dyDescent="0.35">
      <c r="A111" s="70">
        <v>11005</v>
      </c>
      <c r="B111" s="70" t="s">
        <v>307</v>
      </c>
      <c r="C111" s="67">
        <v>2914134.6670880318</v>
      </c>
      <c r="D111" s="65">
        <v>0</v>
      </c>
      <c r="E111" s="65">
        <v>803278</v>
      </c>
      <c r="F111" s="66"/>
      <c r="G111" s="69">
        <f t="shared" si="9"/>
        <v>653789</v>
      </c>
      <c r="H111" s="65">
        <v>798158</v>
      </c>
      <c r="I111" s="66"/>
      <c r="J111" s="69">
        <f t="shared" si="10"/>
        <v>658909</v>
      </c>
      <c r="K111" s="65">
        <f t="shared" si="11"/>
        <v>1312698</v>
      </c>
    </row>
    <row r="112" spans="1:11" ht="13.5" customHeight="1" x14ac:dyDescent="0.35">
      <c r="A112" s="70">
        <v>51004</v>
      </c>
      <c r="B112" s="70" t="s">
        <v>372</v>
      </c>
      <c r="C112" s="67">
        <v>74840153.869880393</v>
      </c>
      <c r="D112" s="65">
        <v>0</v>
      </c>
      <c r="E112" s="65">
        <v>18102662</v>
      </c>
      <c r="F112" s="66"/>
      <c r="G112" s="69">
        <f t="shared" si="9"/>
        <v>19317415</v>
      </c>
      <c r="H112" s="65">
        <v>17258588</v>
      </c>
      <c r="I112" s="66"/>
      <c r="J112" s="69">
        <f t="shared" si="10"/>
        <v>20161489</v>
      </c>
      <c r="K112" s="65">
        <f t="shared" si="11"/>
        <v>39478904</v>
      </c>
    </row>
    <row r="113" spans="1:11" ht="13.5" customHeight="1" x14ac:dyDescent="0.35">
      <c r="A113" s="70">
        <v>56004</v>
      </c>
      <c r="B113" s="70" t="s">
        <v>309</v>
      </c>
      <c r="C113" s="67">
        <v>3261406.4033032255</v>
      </c>
      <c r="D113" s="65">
        <v>4178.6300000000047</v>
      </c>
      <c r="E113" s="65">
        <v>643603</v>
      </c>
      <c r="F113" s="66"/>
      <c r="G113" s="69">
        <f t="shared" si="9"/>
        <v>985011</v>
      </c>
      <c r="H113" s="65">
        <v>703443</v>
      </c>
      <c r="I113" s="66"/>
      <c r="J113" s="69">
        <f t="shared" si="10"/>
        <v>925171</v>
      </c>
      <c r="K113" s="65">
        <f t="shared" si="11"/>
        <v>1910182</v>
      </c>
    </row>
    <row r="114" spans="1:11" ht="13.5" customHeight="1" x14ac:dyDescent="0.35">
      <c r="A114" s="70">
        <v>54004</v>
      </c>
      <c r="B114" s="70" t="s">
        <v>310</v>
      </c>
      <c r="C114" s="67">
        <v>1643955.7114072992</v>
      </c>
      <c r="D114" s="65">
        <v>0</v>
      </c>
      <c r="E114" s="65">
        <v>190574</v>
      </c>
      <c r="F114" s="66"/>
      <c r="G114" s="69">
        <f t="shared" si="9"/>
        <v>631404</v>
      </c>
      <c r="H114" s="65">
        <v>183172</v>
      </c>
      <c r="I114" s="66"/>
      <c r="J114" s="69">
        <f t="shared" si="10"/>
        <v>638806</v>
      </c>
      <c r="K114" s="65">
        <f t="shared" si="11"/>
        <v>1270210</v>
      </c>
    </row>
    <row r="115" spans="1:11" ht="13.5" customHeight="1" x14ac:dyDescent="0.35">
      <c r="A115" s="70">
        <v>39004</v>
      </c>
      <c r="B115" s="70" t="s">
        <v>311</v>
      </c>
      <c r="C115" s="67">
        <v>1224901.2300525</v>
      </c>
      <c r="D115" s="65">
        <v>0</v>
      </c>
      <c r="E115" s="65">
        <v>184672</v>
      </c>
      <c r="F115" s="66"/>
      <c r="G115" s="69">
        <f t="shared" si="9"/>
        <v>427779</v>
      </c>
      <c r="H115" s="65">
        <v>178813</v>
      </c>
      <c r="I115" s="66"/>
      <c r="J115" s="69">
        <f t="shared" si="10"/>
        <v>433638</v>
      </c>
      <c r="K115" s="65">
        <f t="shared" si="11"/>
        <v>861417</v>
      </c>
    </row>
    <row r="116" spans="1:11" ht="13.5" customHeight="1" x14ac:dyDescent="0.35">
      <c r="A116" s="70">
        <v>55005</v>
      </c>
      <c r="B116" s="70" t="s">
        <v>312</v>
      </c>
      <c r="C116" s="67">
        <v>1250598.4586550002</v>
      </c>
      <c r="D116" s="65">
        <v>10778.510000000009</v>
      </c>
      <c r="E116" s="65">
        <v>361813</v>
      </c>
      <c r="F116" s="66"/>
      <c r="G116" s="69">
        <f t="shared" si="9"/>
        <v>258097</v>
      </c>
      <c r="H116" s="65">
        <v>343142</v>
      </c>
      <c r="I116" s="66"/>
      <c r="J116" s="69">
        <f t="shared" si="10"/>
        <v>276768</v>
      </c>
      <c r="K116" s="65">
        <f t="shared" si="11"/>
        <v>534865</v>
      </c>
    </row>
    <row r="117" spans="1:11" ht="13.5" customHeight="1" x14ac:dyDescent="0.35">
      <c r="A117" s="70">
        <v>4003</v>
      </c>
      <c r="B117" s="70" t="s">
        <v>313</v>
      </c>
      <c r="C117" s="67">
        <v>1752223.9911428574</v>
      </c>
      <c r="D117" s="65">
        <v>7428.4199999999837</v>
      </c>
      <c r="E117" s="65">
        <v>364052</v>
      </c>
      <c r="F117" s="66"/>
      <c r="G117" s="69">
        <f t="shared" si="9"/>
        <v>508346</v>
      </c>
      <c r="H117" s="65">
        <v>365122</v>
      </c>
      <c r="I117" s="66"/>
      <c r="J117" s="69">
        <f t="shared" si="10"/>
        <v>507276</v>
      </c>
      <c r="K117" s="65">
        <f t="shared" si="11"/>
        <v>1015622</v>
      </c>
    </row>
    <row r="118" spans="1:11" ht="13.5" customHeight="1" x14ac:dyDescent="0.35">
      <c r="A118" s="70">
        <v>62005</v>
      </c>
      <c r="B118" s="70" t="s">
        <v>371</v>
      </c>
      <c r="C118" s="67">
        <v>1260877.3500959999</v>
      </c>
      <c r="D118" s="65">
        <v>0</v>
      </c>
      <c r="E118" s="65">
        <v>577570</v>
      </c>
      <c r="F118" s="66"/>
      <c r="G118" s="69">
        <f t="shared" si="9"/>
        <v>52869</v>
      </c>
      <c r="H118" s="65">
        <v>606274</v>
      </c>
      <c r="I118" s="66"/>
      <c r="J118" s="69">
        <f t="shared" si="10"/>
        <v>24165</v>
      </c>
      <c r="K118" s="65">
        <f t="shared" si="11"/>
        <v>77034</v>
      </c>
    </row>
    <row r="119" spans="1:11" ht="13.5" customHeight="1" x14ac:dyDescent="0.35">
      <c r="A119" s="70">
        <v>49005</v>
      </c>
      <c r="B119" s="70" t="s">
        <v>315</v>
      </c>
      <c r="C119" s="67">
        <v>133590975.0448956</v>
      </c>
      <c r="D119" s="65">
        <v>0</v>
      </c>
      <c r="E119" s="65">
        <v>28402856</v>
      </c>
      <c r="F119" s="66"/>
      <c r="G119" s="69">
        <f t="shared" si="9"/>
        <v>38392632</v>
      </c>
      <c r="H119" s="65">
        <v>26874084</v>
      </c>
      <c r="I119" s="66"/>
      <c r="J119" s="69">
        <f t="shared" si="10"/>
        <v>39921404</v>
      </c>
      <c r="K119" s="65">
        <f t="shared" si="11"/>
        <v>78314036</v>
      </c>
    </row>
    <row r="120" spans="1:11" ht="13.5" customHeight="1" x14ac:dyDescent="0.35">
      <c r="A120" s="70">
        <v>5005</v>
      </c>
      <c r="B120" s="70" t="s">
        <v>316</v>
      </c>
      <c r="C120" s="67">
        <v>3634890.1173093594</v>
      </c>
      <c r="D120" s="65">
        <v>0</v>
      </c>
      <c r="E120" s="65">
        <v>611681</v>
      </c>
      <c r="F120" s="66"/>
      <c r="G120" s="69">
        <f t="shared" si="9"/>
        <v>1205764</v>
      </c>
      <c r="H120" s="65">
        <v>593230</v>
      </c>
      <c r="I120" s="66"/>
      <c r="J120" s="69">
        <f t="shared" si="10"/>
        <v>1224215</v>
      </c>
      <c r="K120" s="65">
        <f t="shared" si="11"/>
        <v>2429979</v>
      </c>
    </row>
    <row r="121" spans="1:11" ht="13.5" customHeight="1" x14ac:dyDescent="0.35">
      <c r="A121" s="70">
        <v>54002</v>
      </c>
      <c r="B121" s="70" t="s">
        <v>317</v>
      </c>
      <c r="C121" s="67">
        <v>4881788.1750456002</v>
      </c>
      <c r="D121" s="65">
        <v>38225.989999999991</v>
      </c>
      <c r="E121" s="65">
        <v>816530</v>
      </c>
      <c r="F121" s="66"/>
      <c r="G121" s="69">
        <f t="shared" si="9"/>
        <v>1605251</v>
      </c>
      <c r="H121" s="65">
        <v>795937</v>
      </c>
      <c r="I121" s="66"/>
      <c r="J121" s="69">
        <f t="shared" si="10"/>
        <v>1625844</v>
      </c>
      <c r="K121" s="65">
        <f t="shared" si="11"/>
        <v>3231095</v>
      </c>
    </row>
    <row r="122" spans="1:11" ht="13.5" customHeight="1" x14ac:dyDescent="0.35">
      <c r="A122" s="70">
        <v>15003</v>
      </c>
      <c r="B122" s="70" t="s">
        <v>318</v>
      </c>
      <c r="C122" s="67">
        <v>1361953.1159325</v>
      </c>
      <c r="D122" s="65">
        <v>0</v>
      </c>
      <c r="E122" s="65">
        <v>9056</v>
      </c>
      <c r="F122" s="66"/>
      <c r="G122" s="69">
        <f t="shared" si="9"/>
        <v>671921</v>
      </c>
      <c r="H122" s="65">
        <v>9802</v>
      </c>
      <c r="I122" s="66"/>
      <c r="J122" s="69">
        <f t="shared" si="10"/>
        <v>671175</v>
      </c>
      <c r="K122" s="65">
        <f t="shared" si="11"/>
        <v>1343096</v>
      </c>
    </row>
    <row r="123" spans="1:11" ht="13.5" customHeight="1" x14ac:dyDescent="0.35">
      <c r="A123" s="70">
        <v>26005</v>
      </c>
      <c r="B123" s="70" t="s">
        <v>319</v>
      </c>
      <c r="C123" s="67">
        <v>671554.240812</v>
      </c>
      <c r="D123" s="65">
        <v>0</v>
      </c>
      <c r="E123" s="65">
        <v>138514</v>
      </c>
      <c r="F123" s="66"/>
      <c r="G123" s="69">
        <f t="shared" si="9"/>
        <v>197263</v>
      </c>
      <c r="H123" s="65">
        <v>148087</v>
      </c>
      <c r="I123" s="66"/>
      <c r="J123" s="69">
        <f t="shared" si="10"/>
        <v>187690</v>
      </c>
      <c r="K123" s="65">
        <f t="shared" si="11"/>
        <v>384953</v>
      </c>
    </row>
    <row r="124" spans="1:11" ht="13.5" customHeight="1" x14ac:dyDescent="0.35">
      <c r="A124" s="70">
        <v>40002</v>
      </c>
      <c r="B124" s="70" t="s">
        <v>320</v>
      </c>
      <c r="C124" s="67">
        <v>13160489.572758526</v>
      </c>
      <c r="D124" s="65">
        <v>0</v>
      </c>
      <c r="E124" s="65">
        <v>3129164</v>
      </c>
      <c r="F124" s="66"/>
      <c r="G124" s="69">
        <f t="shared" si="9"/>
        <v>3451081</v>
      </c>
      <c r="H124" s="65">
        <v>2966182</v>
      </c>
      <c r="I124" s="66">
        <v>-175408.12</v>
      </c>
      <c r="J124" s="69">
        <f t="shared" si="10"/>
        <v>3438655</v>
      </c>
      <c r="K124" s="65">
        <f t="shared" si="11"/>
        <v>6889736</v>
      </c>
    </row>
    <row r="125" spans="1:11" ht="13.5" customHeight="1" x14ac:dyDescent="0.35">
      <c r="A125" s="70">
        <v>57001</v>
      </c>
      <c r="B125" s="70" t="s">
        <v>321</v>
      </c>
      <c r="C125" s="67">
        <v>2662468.2210976742</v>
      </c>
      <c r="D125" s="65">
        <v>0</v>
      </c>
      <c r="E125" s="65">
        <v>802141</v>
      </c>
      <c r="F125" s="66"/>
      <c r="G125" s="69">
        <f t="shared" si="9"/>
        <v>529093</v>
      </c>
      <c r="H125" s="65">
        <v>819687</v>
      </c>
      <c r="I125" s="66"/>
      <c r="J125" s="69">
        <f t="shared" si="10"/>
        <v>511547</v>
      </c>
      <c r="K125" s="65">
        <f t="shared" si="11"/>
        <v>1040640</v>
      </c>
    </row>
    <row r="126" spans="1:11" ht="13.5" customHeight="1" x14ac:dyDescent="0.35">
      <c r="A126" s="70">
        <v>54006</v>
      </c>
      <c r="B126" s="70" t="s">
        <v>322</v>
      </c>
      <c r="C126" s="67">
        <v>1036454.8869675</v>
      </c>
      <c r="D126" s="65">
        <v>0</v>
      </c>
      <c r="E126" s="65">
        <v>126032</v>
      </c>
      <c r="F126" s="66"/>
      <c r="G126" s="69">
        <f t="shared" si="9"/>
        <v>392195</v>
      </c>
      <c r="H126" s="65">
        <v>129190</v>
      </c>
      <c r="I126" s="66"/>
      <c r="J126" s="69">
        <f t="shared" si="10"/>
        <v>389037</v>
      </c>
      <c r="K126" s="65">
        <f t="shared" si="11"/>
        <v>781232</v>
      </c>
    </row>
    <row r="127" spans="1:11" ht="14.25" customHeight="1" x14ac:dyDescent="0.35">
      <c r="A127" s="70">
        <v>41005</v>
      </c>
      <c r="B127" s="70" t="s">
        <v>323</v>
      </c>
      <c r="C127" s="67">
        <v>9837584.3684664015</v>
      </c>
      <c r="D127" s="65">
        <v>0</v>
      </c>
      <c r="E127" s="65">
        <v>1164824</v>
      </c>
      <c r="F127" s="66"/>
      <c r="G127" s="69">
        <f t="shared" si="9"/>
        <v>3753968</v>
      </c>
      <c r="H127" s="65">
        <v>1130923</v>
      </c>
      <c r="I127" s="66"/>
      <c r="J127" s="69">
        <f t="shared" si="10"/>
        <v>3787869</v>
      </c>
      <c r="K127" s="65">
        <f t="shared" si="11"/>
        <v>7541837</v>
      </c>
    </row>
    <row r="128" spans="1:11" ht="13.5" customHeight="1" x14ac:dyDescent="0.35">
      <c r="A128" s="70">
        <v>20003</v>
      </c>
      <c r="B128" s="70" t="s">
        <v>324</v>
      </c>
      <c r="C128" s="67">
        <v>2204293.0737110958</v>
      </c>
      <c r="D128" s="65">
        <v>0</v>
      </c>
      <c r="E128" s="65">
        <v>180354</v>
      </c>
      <c r="F128" s="66"/>
      <c r="G128" s="69">
        <f t="shared" si="9"/>
        <v>921793</v>
      </c>
      <c r="H128" s="65">
        <v>189180</v>
      </c>
      <c r="I128" s="66"/>
      <c r="J128" s="69">
        <f t="shared" si="10"/>
        <v>912967</v>
      </c>
      <c r="K128" s="65">
        <f t="shared" si="11"/>
        <v>1834760</v>
      </c>
    </row>
    <row r="129" spans="1:11" ht="13.5" customHeight="1" x14ac:dyDescent="0.35">
      <c r="A129" s="70">
        <v>66001</v>
      </c>
      <c r="B129" s="70" t="s">
        <v>325</v>
      </c>
      <c r="C129" s="67">
        <v>11323073.320883363</v>
      </c>
      <c r="D129" s="65">
        <v>0</v>
      </c>
      <c r="E129" s="65">
        <v>186787</v>
      </c>
      <c r="F129" s="66"/>
      <c r="G129" s="69">
        <f t="shared" si="9"/>
        <v>5474750</v>
      </c>
      <c r="H129" s="65">
        <v>189929</v>
      </c>
      <c r="I129" s="66"/>
      <c r="J129" s="69">
        <f t="shared" si="10"/>
        <v>5471608</v>
      </c>
      <c r="K129" s="65">
        <f t="shared" si="11"/>
        <v>10946358</v>
      </c>
    </row>
    <row r="130" spans="1:11" ht="13.5" customHeight="1" x14ac:dyDescent="0.35">
      <c r="A130" s="70">
        <v>33005</v>
      </c>
      <c r="B130" s="70" t="s">
        <v>326</v>
      </c>
      <c r="C130" s="67">
        <v>1034741.738394</v>
      </c>
      <c r="D130" s="65">
        <v>32845.349999999977</v>
      </c>
      <c r="E130" s="65">
        <v>365486</v>
      </c>
      <c r="F130" s="66"/>
      <c r="G130" s="69">
        <f t="shared" ref="G130:G150" si="12">IF((0.5*C130)-(0.5*D130)-E130+F130&lt;0,0,ROUND((0.5*C130)-(0.5*D130)-E130+F130,0))</f>
        <v>135462</v>
      </c>
      <c r="H130" s="65">
        <v>351919</v>
      </c>
      <c r="I130" s="66"/>
      <c r="J130" s="69">
        <f t="shared" ref="J130:J150" si="13">IF((0.5*C130)-(0.5*D130)-H130+I130&lt;0,0,ROUND((0.5*C130)-(0.5*D130)-H130+I130,0))</f>
        <v>149029</v>
      </c>
      <c r="K130" s="65">
        <f t="shared" ref="K130:K150" si="14">G130+J130</f>
        <v>284491</v>
      </c>
    </row>
    <row r="131" spans="1:11" ht="13.5" customHeight="1" x14ac:dyDescent="0.35">
      <c r="A131" s="70">
        <v>49006</v>
      </c>
      <c r="B131" s="70" t="s">
        <v>327</v>
      </c>
      <c r="C131" s="67">
        <v>5083254.4472891996</v>
      </c>
      <c r="D131" s="65">
        <v>0</v>
      </c>
      <c r="E131" s="65">
        <v>987930</v>
      </c>
      <c r="F131" s="66"/>
      <c r="G131" s="69">
        <f t="shared" si="12"/>
        <v>1553697</v>
      </c>
      <c r="H131" s="65">
        <v>944722</v>
      </c>
      <c r="I131" s="66"/>
      <c r="J131" s="69">
        <f t="shared" si="13"/>
        <v>1596905</v>
      </c>
      <c r="K131" s="65">
        <f t="shared" si="14"/>
        <v>3150602</v>
      </c>
    </row>
    <row r="132" spans="1:11" ht="13.5" customHeight="1" x14ac:dyDescent="0.35">
      <c r="A132" s="70">
        <v>13001</v>
      </c>
      <c r="B132" s="70" t="s">
        <v>328</v>
      </c>
      <c r="C132" s="67">
        <v>6699315.4648318086</v>
      </c>
      <c r="D132" s="65">
        <v>0</v>
      </c>
      <c r="E132" s="65">
        <v>1415850</v>
      </c>
      <c r="F132" s="66"/>
      <c r="G132" s="69">
        <f t="shared" si="12"/>
        <v>1933808</v>
      </c>
      <c r="H132" s="65">
        <v>1375491</v>
      </c>
      <c r="I132" s="66"/>
      <c r="J132" s="69">
        <f t="shared" si="13"/>
        <v>1974167</v>
      </c>
      <c r="K132" s="65">
        <f t="shared" si="14"/>
        <v>3907975</v>
      </c>
    </row>
    <row r="133" spans="1:11" ht="13.5" customHeight="1" x14ac:dyDescent="0.35">
      <c r="A133" s="70">
        <v>60006</v>
      </c>
      <c r="B133" s="70" t="s">
        <v>370</v>
      </c>
      <c r="C133" s="67">
        <v>2181513.9633192657</v>
      </c>
      <c r="D133" s="65">
        <v>0</v>
      </c>
      <c r="E133" s="65">
        <v>470580</v>
      </c>
      <c r="F133" s="66"/>
      <c r="G133" s="69">
        <f t="shared" si="12"/>
        <v>620177</v>
      </c>
      <c r="H133" s="65">
        <v>461652</v>
      </c>
      <c r="I133" s="66"/>
      <c r="J133" s="69">
        <f t="shared" si="13"/>
        <v>629105</v>
      </c>
      <c r="K133" s="65">
        <f t="shared" si="14"/>
        <v>1249282</v>
      </c>
    </row>
    <row r="134" spans="1:11" ht="13.5" customHeight="1" x14ac:dyDescent="0.35">
      <c r="A134" s="70">
        <v>11004</v>
      </c>
      <c r="B134" s="70" t="s">
        <v>369</v>
      </c>
      <c r="C134" s="67">
        <v>4655597.7425892483</v>
      </c>
      <c r="D134" s="65">
        <v>30186.110000000015</v>
      </c>
      <c r="E134" s="65">
        <v>444185</v>
      </c>
      <c r="F134" s="66"/>
      <c r="G134" s="69">
        <f t="shared" si="12"/>
        <v>1868521</v>
      </c>
      <c r="H134" s="65">
        <v>427332</v>
      </c>
      <c r="I134" s="66"/>
      <c r="J134" s="69">
        <f t="shared" si="13"/>
        <v>1885374</v>
      </c>
      <c r="K134" s="65">
        <f t="shared" si="14"/>
        <v>3753895</v>
      </c>
    </row>
    <row r="135" spans="1:11" ht="13.5" customHeight="1" x14ac:dyDescent="0.35">
      <c r="A135" s="70">
        <v>51005</v>
      </c>
      <c r="B135" s="70" t="s">
        <v>331</v>
      </c>
      <c r="C135" s="67">
        <v>1700535.1681911889</v>
      </c>
      <c r="D135" s="65">
        <v>0</v>
      </c>
      <c r="E135" s="65">
        <v>353537</v>
      </c>
      <c r="F135" s="66"/>
      <c r="G135" s="69">
        <f t="shared" si="12"/>
        <v>496731</v>
      </c>
      <c r="H135" s="65">
        <v>361995</v>
      </c>
      <c r="I135" s="66"/>
      <c r="J135" s="69">
        <f t="shared" si="13"/>
        <v>488273</v>
      </c>
      <c r="K135" s="65">
        <f t="shared" si="14"/>
        <v>985004</v>
      </c>
    </row>
    <row r="136" spans="1:11" ht="13.5" customHeight="1" x14ac:dyDescent="0.35">
      <c r="A136" s="70">
        <v>6005</v>
      </c>
      <c r="B136" s="70" t="s">
        <v>332</v>
      </c>
      <c r="C136" s="67">
        <v>2003373.743394746</v>
      </c>
      <c r="D136" s="65">
        <v>1602.5500000000029</v>
      </c>
      <c r="E136" s="65">
        <v>297038</v>
      </c>
      <c r="F136" s="66"/>
      <c r="G136" s="69">
        <f t="shared" si="12"/>
        <v>703848</v>
      </c>
      <c r="H136" s="65">
        <v>301643</v>
      </c>
      <c r="I136" s="66"/>
      <c r="J136" s="69">
        <f t="shared" si="13"/>
        <v>699243</v>
      </c>
      <c r="K136" s="65">
        <f t="shared" si="14"/>
        <v>1403091</v>
      </c>
    </row>
    <row r="137" spans="1:11" ht="13.5" customHeight="1" x14ac:dyDescent="0.35">
      <c r="A137" s="70">
        <v>14004</v>
      </c>
      <c r="B137" s="70" t="s">
        <v>333</v>
      </c>
      <c r="C137" s="67">
        <v>21585507.563836943</v>
      </c>
      <c r="D137" s="65">
        <v>0</v>
      </c>
      <c r="E137" s="65">
        <v>4613616</v>
      </c>
      <c r="F137" s="66"/>
      <c r="G137" s="69">
        <f t="shared" si="12"/>
        <v>6179138</v>
      </c>
      <c r="H137" s="65">
        <v>4471450</v>
      </c>
      <c r="I137" s="66"/>
      <c r="J137" s="69">
        <f t="shared" si="13"/>
        <v>6321304</v>
      </c>
      <c r="K137" s="65">
        <f t="shared" si="14"/>
        <v>12500442</v>
      </c>
    </row>
    <row r="138" spans="1:11" ht="13.5" customHeight="1" x14ac:dyDescent="0.35">
      <c r="A138" s="70">
        <v>18003</v>
      </c>
      <c r="B138" s="70" t="s">
        <v>334</v>
      </c>
      <c r="C138" s="67">
        <v>1158088.4356860002</v>
      </c>
      <c r="D138" s="65">
        <v>0</v>
      </c>
      <c r="E138" s="65">
        <v>244559</v>
      </c>
      <c r="F138" s="66"/>
      <c r="G138" s="69">
        <f t="shared" si="12"/>
        <v>334485</v>
      </c>
      <c r="H138" s="65">
        <v>261995</v>
      </c>
      <c r="I138" s="66"/>
      <c r="J138" s="69">
        <f t="shared" si="13"/>
        <v>317049</v>
      </c>
      <c r="K138" s="65">
        <f t="shared" si="14"/>
        <v>651534</v>
      </c>
    </row>
    <row r="139" spans="1:11" ht="13.5" customHeight="1" x14ac:dyDescent="0.35">
      <c r="A139" s="70">
        <v>14005</v>
      </c>
      <c r="B139" s="70" t="s">
        <v>335</v>
      </c>
      <c r="C139" s="67">
        <v>1638627.651347752</v>
      </c>
      <c r="D139" s="65">
        <v>0</v>
      </c>
      <c r="E139" s="65">
        <v>231106</v>
      </c>
      <c r="F139" s="66"/>
      <c r="G139" s="69">
        <f t="shared" si="12"/>
        <v>588208</v>
      </c>
      <c r="H139" s="65">
        <v>224208</v>
      </c>
      <c r="I139" s="66"/>
      <c r="J139" s="69">
        <f t="shared" si="13"/>
        <v>595106</v>
      </c>
      <c r="K139" s="65">
        <f t="shared" si="14"/>
        <v>1183314</v>
      </c>
    </row>
    <row r="140" spans="1:11" ht="13.5" customHeight="1" x14ac:dyDescent="0.35">
      <c r="A140" s="70">
        <v>18005</v>
      </c>
      <c r="B140" s="70" t="s">
        <v>336</v>
      </c>
      <c r="C140" s="67">
        <v>3039622.6212724834</v>
      </c>
      <c r="D140" s="65">
        <v>18738.999999999971</v>
      </c>
      <c r="E140" s="65">
        <v>1036024</v>
      </c>
      <c r="F140" s="66"/>
      <c r="G140" s="69">
        <f t="shared" si="12"/>
        <v>474418</v>
      </c>
      <c r="H140" s="65">
        <v>971711</v>
      </c>
      <c r="I140" s="66"/>
      <c r="J140" s="69">
        <f t="shared" si="13"/>
        <v>538731</v>
      </c>
      <c r="K140" s="65">
        <f t="shared" si="14"/>
        <v>1013149</v>
      </c>
    </row>
    <row r="141" spans="1:11" ht="13.5" customHeight="1" x14ac:dyDescent="0.35">
      <c r="A141" s="70">
        <v>36002</v>
      </c>
      <c r="B141" s="70" t="s">
        <v>337</v>
      </c>
      <c r="C141" s="67">
        <v>2133324.9672775981</v>
      </c>
      <c r="D141" s="65">
        <v>0</v>
      </c>
      <c r="E141" s="65">
        <v>587739</v>
      </c>
      <c r="F141" s="66"/>
      <c r="G141" s="69">
        <f t="shared" si="12"/>
        <v>478923</v>
      </c>
      <c r="H141" s="65">
        <v>589528</v>
      </c>
      <c r="I141" s="66"/>
      <c r="J141" s="69">
        <f t="shared" si="13"/>
        <v>477134</v>
      </c>
      <c r="K141" s="65">
        <f t="shared" si="14"/>
        <v>956057</v>
      </c>
    </row>
    <row r="142" spans="1:11" ht="13.5" customHeight="1" x14ac:dyDescent="0.35">
      <c r="A142" s="70">
        <v>49007</v>
      </c>
      <c r="B142" s="70" t="s">
        <v>338</v>
      </c>
      <c r="C142" s="67">
        <v>7484129.3841350405</v>
      </c>
      <c r="D142" s="65">
        <v>0</v>
      </c>
      <c r="E142" s="65">
        <v>1064363</v>
      </c>
      <c r="F142" s="66"/>
      <c r="G142" s="69">
        <f t="shared" si="12"/>
        <v>2677702</v>
      </c>
      <c r="H142" s="65">
        <v>1079628</v>
      </c>
      <c r="I142" s="66"/>
      <c r="J142" s="69">
        <f t="shared" si="13"/>
        <v>2662437</v>
      </c>
      <c r="K142" s="65">
        <f t="shared" si="14"/>
        <v>5340139</v>
      </c>
    </row>
    <row r="143" spans="1:11" ht="13.5" customHeight="1" x14ac:dyDescent="0.35">
      <c r="A143" s="76">
        <v>1003</v>
      </c>
      <c r="B143" s="76" t="s">
        <v>339</v>
      </c>
      <c r="C143" s="75">
        <v>926292.50109090912</v>
      </c>
      <c r="D143" s="72">
        <v>220085.82</v>
      </c>
      <c r="E143" s="72">
        <v>223108</v>
      </c>
      <c r="F143" s="74"/>
      <c r="G143" s="73">
        <f t="shared" si="12"/>
        <v>129995</v>
      </c>
      <c r="H143" s="72">
        <v>213528</v>
      </c>
      <c r="I143" s="74"/>
      <c r="J143" s="73">
        <f t="shared" si="13"/>
        <v>139575</v>
      </c>
      <c r="K143" s="72">
        <f t="shared" si="14"/>
        <v>269570</v>
      </c>
    </row>
    <row r="144" spans="1:11" ht="13.5" customHeight="1" x14ac:dyDescent="0.35">
      <c r="A144" s="70">
        <v>47001</v>
      </c>
      <c r="B144" s="70" t="s">
        <v>340</v>
      </c>
      <c r="C144" s="67">
        <v>2458425.1813064301</v>
      </c>
      <c r="D144" s="65">
        <v>0</v>
      </c>
      <c r="E144" s="65">
        <v>132789</v>
      </c>
      <c r="F144" s="66"/>
      <c r="G144" s="69">
        <f t="shared" si="12"/>
        <v>1096424</v>
      </c>
      <c r="H144" s="65">
        <v>138891</v>
      </c>
      <c r="I144" s="66"/>
      <c r="J144" s="69">
        <f t="shared" si="13"/>
        <v>1090322</v>
      </c>
      <c r="K144" s="65">
        <f t="shared" si="14"/>
        <v>2186746</v>
      </c>
    </row>
    <row r="145" spans="1:11" ht="13.5" customHeight="1" x14ac:dyDescent="0.35">
      <c r="A145" s="70">
        <v>12003</v>
      </c>
      <c r="B145" s="70" t="s">
        <v>341</v>
      </c>
      <c r="C145" s="67">
        <v>1634241.180438363</v>
      </c>
      <c r="D145" s="65">
        <v>0</v>
      </c>
      <c r="E145" s="65">
        <v>406037</v>
      </c>
      <c r="F145" s="66"/>
      <c r="G145" s="69">
        <f t="shared" si="12"/>
        <v>411084</v>
      </c>
      <c r="H145" s="65">
        <v>398478</v>
      </c>
      <c r="I145" s="66"/>
      <c r="J145" s="69">
        <f t="shared" si="13"/>
        <v>418643</v>
      </c>
      <c r="K145" s="65">
        <f t="shared" si="14"/>
        <v>829727</v>
      </c>
    </row>
    <row r="146" spans="1:11" ht="13.5" customHeight="1" x14ac:dyDescent="0.35">
      <c r="A146" s="70">
        <v>54007</v>
      </c>
      <c r="B146" s="70" t="s">
        <v>342</v>
      </c>
      <c r="C146" s="67">
        <v>1500642.1043334154</v>
      </c>
      <c r="D146" s="65">
        <v>0</v>
      </c>
      <c r="E146" s="65">
        <v>224641</v>
      </c>
      <c r="F146" s="66"/>
      <c r="G146" s="69">
        <f t="shared" si="12"/>
        <v>525680</v>
      </c>
      <c r="H146" s="65">
        <v>214597</v>
      </c>
      <c r="I146" s="66"/>
      <c r="J146" s="69">
        <f t="shared" si="13"/>
        <v>535724</v>
      </c>
      <c r="K146" s="65">
        <f t="shared" si="14"/>
        <v>1061404</v>
      </c>
    </row>
    <row r="147" spans="1:11" ht="13.5" customHeight="1" x14ac:dyDescent="0.35">
      <c r="A147" s="70">
        <v>59002</v>
      </c>
      <c r="B147" s="70" t="s">
        <v>343</v>
      </c>
      <c r="C147" s="67">
        <v>3964911.0585084003</v>
      </c>
      <c r="D147" s="65">
        <v>0</v>
      </c>
      <c r="E147" s="65">
        <v>870986</v>
      </c>
      <c r="F147" s="66"/>
      <c r="G147" s="69">
        <f t="shared" si="12"/>
        <v>1111470</v>
      </c>
      <c r="H147" s="65">
        <v>823703</v>
      </c>
      <c r="I147" s="66"/>
      <c r="J147" s="69">
        <f t="shared" si="13"/>
        <v>1158753</v>
      </c>
      <c r="K147" s="65">
        <f t="shared" si="14"/>
        <v>2270223</v>
      </c>
    </row>
    <row r="148" spans="1:11" ht="13.5" customHeight="1" x14ac:dyDescent="0.35">
      <c r="A148" s="71">
        <v>2006</v>
      </c>
      <c r="B148" s="70" t="s">
        <v>344</v>
      </c>
      <c r="C148" s="67">
        <v>2257233.6709634508</v>
      </c>
      <c r="D148" s="65">
        <v>0</v>
      </c>
      <c r="E148" s="65">
        <v>481363</v>
      </c>
      <c r="F148" s="66"/>
      <c r="G148" s="69">
        <f t="shared" si="12"/>
        <v>647254</v>
      </c>
      <c r="H148" s="65">
        <v>482924</v>
      </c>
      <c r="I148" s="66"/>
      <c r="J148" s="69">
        <f t="shared" si="13"/>
        <v>645693</v>
      </c>
      <c r="K148" s="65">
        <f t="shared" si="14"/>
        <v>1292947</v>
      </c>
    </row>
    <row r="149" spans="1:11" ht="13.5" customHeight="1" x14ac:dyDescent="0.35">
      <c r="A149" s="70">
        <v>55004</v>
      </c>
      <c r="B149" s="70" t="s">
        <v>345</v>
      </c>
      <c r="C149" s="67">
        <v>1569424.5351843233</v>
      </c>
      <c r="D149" s="65">
        <v>0</v>
      </c>
      <c r="E149" s="65">
        <v>245389</v>
      </c>
      <c r="F149" s="66"/>
      <c r="G149" s="69">
        <f t="shared" si="12"/>
        <v>539323</v>
      </c>
      <c r="H149" s="65">
        <v>227650</v>
      </c>
      <c r="I149" s="66"/>
      <c r="J149" s="69">
        <f t="shared" si="13"/>
        <v>557062</v>
      </c>
      <c r="K149" s="65">
        <f t="shared" si="14"/>
        <v>1096385</v>
      </c>
    </row>
    <row r="150" spans="1:11" ht="13.5" customHeight="1" x14ac:dyDescent="0.35">
      <c r="A150" s="70">
        <v>63003</v>
      </c>
      <c r="B150" s="70" t="s">
        <v>346</v>
      </c>
      <c r="C150" s="67">
        <v>14995504.683183022</v>
      </c>
      <c r="D150" s="65">
        <v>0</v>
      </c>
      <c r="E150" s="65">
        <v>3131407</v>
      </c>
      <c r="F150" s="66"/>
      <c r="G150" s="69">
        <f t="shared" si="12"/>
        <v>4366345</v>
      </c>
      <c r="H150" s="65">
        <v>3021079</v>
      </c>
      <c r="I150" s="66"/>
      <c r="J150" s="69">
        <f t="shared" si="13"/>
        <v>4476673</v>
      </c>
      <c r="K150" s="65">
        <f t="shared" si="14"/>
        <v>8843018</v>
      </c>
    </row>
    <row r="151" spans="1:11" x14ac:dyDescent="0.35">
      <c r="A151" s="68"/>
      <c r="B151" s="68"/>
      <c r="C151" s="67">
        <f t="shared" ref="C151:K151" si="15">SUM(C2:C150)</f>
        <v>767513100.7003808</v>
      </c>
      <c r="D151" s="65">
        <f t="shared" si="15"/>
        <v>1081560.48</v>
      </c>
      <c r="E151" s="65">
        <f t="shared" si="15"/>
        <v>160208055</v>
      </c>
      <c r="F151" s="66">
        <f t="shared" si="15"/>
        <v>0</v>
      </c>
      <c r="G151" s="65">
        <f t="shared" si="15"/>
        <v>224383711</v>
      </c>
      <c r="H151" s="65">
        <f t="shared" si="15"/>
        <v>156232100</v>
      </c>
      <c r="I151" s="66">
        <f t="shared" si="15"/>
        <v>-244139.90999999997</v>
      </c>
      <c r="J151" s="65">
        <f t="shared" si="15"/>
        <v>227975473</v>
      </c>
      <c r="K151" s="65">
        <f t="shared" si="15"/>
        <v>452359184</v>
      </c>
    </row>
    <row r="152" spans="1:11" ht="16.5" thickBot="1" x14ac:dyDescent="0.4">
      <c r="A152" s="527"/>
      <c r="B152" s="527"/>
      <c r="C152" s="48"/>
      <c r="F152" s="64"/>
      <c r="G152" s="48"/>
    </row>
    <row r="153" spans="1:11" s="58" customFormat="1" ht="16.5" thickBot="1" x14ac:dyDescent="0.3">
      <c r="A153" s="63" t="s">
        <v>187</v>
      </c>
      <c r="B153" s="62" t="s">
        <v>368</v>
      </c>
      <c r="C153" s="59">
        <v>534502.35493200005</v>
      </c>
      <c r="D153" s="59"/>
      <c r="E153" s="59"/>
      <c r="F153" s="61"/>
      <c r="G153" s="59">
        <f>IF((0.5*C153)-(D153*0.5)-E153+F153&lt;0,0,ROUND((0.5*C153)-(D153*0.5)-E153+F153,0))</f>
        <v>267251</v>
      </c>
      <c r="H153" s="60"/>
      <c r="I153" s="59"/>
      <c r="J153" s="59">
        <f>IF((0.5*C153)-(0.5*D153)-H153+I153&lt;0,0,ROUND((0.5*C153)-(0.5*D153)-H153+I153,0))</f>
        <v>267251</v>
      </c>
      <c r="K153" s="59">
        <f>G153+J153</f>
        <v>534502</v>
      </c>
    </row>
    <row r="154" spans="1:11" s="54" customFormat="1" x14ac:dyDescent="0.35">
      <c r="A154" s="57"/>
      <c r="B154" s="57"/>
      <c r="C154" s="56"/>
      <c r="D154" s="56"/>
      <c r="E154" s="56"/>
      <c r="F154" s="56"/>
      <c r="G154" s="56"/>
      <c r="H154" s="55"/>
    </row>
    <row r="155" spans="1:11" ht="13.5" customHeight="1" x14ac:dyDescent="0.35">
      <c r="C155" s="53" t="s">
        <v>367</v>
      </c>
      <c r="D155" s="52"/>
      <c r="F155" s="48"/>
      <c r="G155" s="48"/>
      <c r="J155" s="46" t="s">
        <v>366</v>
      </c>
      <c r="K155" s="51">
        <f>K151+K153</f>
        <v>452893686</v>
      </c>
    </row>
    <row r="157" spans="1:11" x14ac:dyDescent="0.35">
      <c r="E157" s="48" t="s">
        <v>187</v>
      </c>
    </row>
    <row r="158" spans="1:11" x14ac:dyDescent="0.35">
      <c r="E158" s="48" t="s">
        <v>187</v>
      </c>
    </row>
  </sheetData>
  <mergeCells count="1">
    <mergeCell ref="A152:B152"/>
  </mergeCells>
  <printOptions gridLines="1"/>
  <pageMargins left="0.25" right="0.25" top="0.42" bottom="0.43" header="0.17" footer="0.16"/>
  <pageSetup scale="84" orientation="landscape" cellComments="asDisplayed" r:id="rId1"/>
  <headerFooter alignWithMargins="0">
    <oddHeader xml:space="preserve">&amp;C&amp;"Arial Unicode MS,Regular"&amp;12FY2018 General State Aid  Calculation&amp;"Lucida Sans Unicode,Regular"&amp;14
</oddHeader>
    <oddFooter>&amp;R&amp;"Arial Unicode MS,Regular"&amp;8
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B388-E98F-4C64-8BFD-14CC51B3D185}">
  <dimension ref="A1:O157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5" sqref="I5"/>
    </sheetView>
  </sheetViews>
  <sheetFormatPr defaultColWidth="9.140625" defaultRowHeight="15.75" x14ac:dyDescent="0.35"/>
  <cols>
    <col min="1" max="1" width="6.7109375" style="152" customWidth="1"/>
    <col min="2" max="2" width="22.140625" style="152" bestFit="1" customWidth="1"/>
    <col min="3" max="3" width="9.7109375" style="148" customWidth="1"/>
    <col min="4" max="4" width="12.7109375" style="151" customWidth="1"/>
    <col min="5" max="5" width="8.7109375" style="148" customWidth="1"/>
    <col min="6" max="6" width="7.5703125" style="148" customWidth="1"/>
    <col min="7" max="7" width="6.7109375" style="148" bestFit="1" customWidth="1"/>
    <col min="8" max="8" width="8.7109375" style="148" customWidth="1"/>
    <col min="9" max="9" width="11.7109375" style="149" bestFit="1" customWidth="1"/>
    <col min="10" max="10" width="11.7109375" style="148" customWidth="1"/>
    <col min="11" max="11" width="10.5703125" style="148" customWidth="1"/>
    <col min="12" max="12" width="12.7109375" style="150" customWidth="1"/>
    <col min="13" max="13" width="11.5703125" style="148" customWidth="1"/>
    <col min="14" max="14" width="10.7109375" style="149" customWidth="1"/>
    <col min="15" max="15" width="11.7109375" style="149" bestFit="1" customWidth="1"/>
    <col min="16" max="16384" width="9.140625" style="148"/>
  </cols>
  <sheetData>
    <row r="1" spans="1:15" s="182" customFormat="1" x14ac:dyDescent="0.35">
      <c r="A1" s="526" t="s">
        <v>414</v>
      </c>
      <c r="B1" s="526"/>
      <c r="D1" s="187" t="s">
        <v>412</v>
      </c>
      <c r="E1" s="186" t="s">
        <v>411</v>
      </c>
      <c r="F1" s="182" t="s">
        <v>409</v>
      </c>
      <c r="G1" s="182" t="s">
        <v>410</v>
      </c>
      <c r="H1" s="182" t="s">
        <v>408</v>
      </c>
      <c r="I1" s="183">
        <v>48500</v>
      </c>
      <c r="J1" s="182" t="s">
        <v>407</v>
      </c>
      <c r="K1" s="182" t="s">
        <v>406</v>
      </c>
      <c r="L1" s="312"/>
      <c r="M1" s="182" t="s">
        <v>404</v>
      </c>
      <c r="N1" s="183" t="s">
        <v>403</v>
      </c>
      <c r="O1" s="183"/>
    </row>
    <row r="2" spans="1:15" s="176" customFormat="1" ht="63" x14ac:dyDescent="0.35">
      <c r="A2" s="313" t="s">
        <v>387</v>
      </c>
      <c r="B2" s="314" t="s">
        <v>402</v>
      </c>
      <c r="C2" s="315" t="s">
        <v>558</v>
      </c>
      <c r="D2" s="316" t="s">
        <v>559</v>
      </c>
      <c r="E2" s="317" t="s">
        <v>399</v>
      </c>
      <c r="F2" s="314" t="s">
        <v>397</v>
      </c>
      <c r="G2" s="317" t="s">
        <v>398</v>
      </c>
      <c r="H2" s="314" t="s">
        <v>396</v>
      </c>
      <c r="I2" s="318" t="s">
        <v>395</v>
      </c>
      <c r="J2" s="314" t="s">
        <v>560</v>
      </c>
      <c r="K2" s="314" t="s">
        <v>393</v>
      </c>
      <c r="L2" s="314" t="s">
        <v>561</v>
      </c>
      <c r="M2" s="314" t="s">
        <v>424</v>
      </c>
      <c r="N2" s="318" t="s">
        <v>390</v>
      </c>
      <c r="O2" s="318" t="s">
        <v>389</v>
      </c>
    </row>
    <row r="3" spans="1:15" x14ac:dyDescent="0.35">
      <c r="A3" s="170">
        <v>6001</v>
      </c>
      <c r="B3" s="170" t="s">
        <v>198</v>
      </c>
      <c r="C3" s="167">
        <v>4550.58</v>
      </c>
      <c r="D3" s="169">
        <v>16.25</v>
      </c>
      <c r="E3" s="166">
        <f t="shared" ref="E3:E65" si="0">IF(C3&lt;200,12,IF(C3&gt;600,15,(C3*0.0075)+10.5))</f>
        <v>15</v>
      </c>
      <c r="F3" s="166">
        <f t="shared" ref="F3:F65" si="1">D3/E3</f>
        <v>1.0833333333333333</v>
      </c>
      <c r="G3" s="166">
        <f t="shared" ref="G3:G65" si="2">C3/E3</f>
        <v>303.37200000000001</v>
      </c>
      <c r="H3" s="166">
        <f t="shared" ref="H3:H65" si="3">G3+F3</f>
        <v>304.45533333333333</v>
      </c>
      <c r="I3" s="164">
        <f t="shared" ref="I3:I65" si="4">$I$1*1.29</f>
        <v>62565</v>
      </c>
      <c r="J3" s="164">
        <f t="shared" ref="J3:J65" si="5">H3*I3</f>
        <v>19048247.93</v>
      </c>
      <c r="K3" s="164">
        <f t="shared" ref="K3:K65" si="6">J3*0.31</f>
        <v>5904956.8582999995</v>
      </c>
      <c r="L3" s="164">
        <v>3442</v>
      </c>
      <c r="M3" s="164">
        <f t="shared" ref="M3:M65" si="7">J3+K3+L3</f>
        <v>24956646.7883</v>
      </c>
      <c r="N3" s="149">
        <v>0</v>
      </c>
      <c r="O3" s="149">
        <f t="shared" ref="O3:O66" si="8">IF(N3&gt;0,N3,M3)</f>
        <v>24956646.7883</v>
      </c>
    </row>
    <row r="4" spans="1:15" ht="13.5" customHeight="1" x14ac:dyDescent="0.35">
      <c r="A4" s="170">
        <v>58003</v>
      </c>
      <c r="B4" s="170" t="s">
        <v>199</v>
      </c>
      <c r="C4" s="167">
        <v>251</v>
      </c>
      <c r="D4" s="169">
        <v>0.5</v>
      </c>
      <c r="E4" s="166">
        <f t="shared" si="0"/>
        <v>12.3825</v>
      </c>
      <c r="F4" s="166">
        <f t="shared" si="1"/>
        <v>4.0379567938623052E-2</v>
      </c>
      <c r="G4" s="166">
        <f t="shared" si="2"/>
        <v>20.270543105188775</v>
      </c>
      <c r="H4" s="166">
        <f t="shared" si="3"/>
        <v>20.310922673127397</v>
      </c>
      <c r="I4" s="164">
        <f t="shared" si="4"/>
        <v>62565</v>
      </c>
      <c r="J4" s="164">
        <f t="shared" si="5"/>
        <v>1270752.8770442156</v>
      </c>
      <c r="K4" s="164">
        <f t="shared" si="6"/>
        <v>393933.39188370685</v>
      </c>
      <c r="L4" s="164">
        <v>0</v>
      </c>
      <c r="M4" s="164">
        <f t="shared" si="7"/>
        <v>1664686.2689279225</v>
      </c>
      <c r="N4" s="149">
        <v>0</v>
      </c>
      <c r="O4" s="149">
        <f t="shared" si="8"/>
        <v>1664686.2689279225</v>
      </c>
    </row>
    <row r="5" spans="1:15" ht="13.5" customHeight="1" x14ac:dyDescent="0.35">
      <c r="A5" s="170">
        <v>61001</v>
      </c>
      <c r="B5" s="170" t="s">
        <v>200</v>
      </c>
      <c r="C5" s="167">
        <v>299.52</v>
      </c>
      <c r="D5" s="169">
        <v>0</v>
      </c>
      <c r="E5" s="166">
        <f t="shared" si="0"/>
        <v>12.7464</v>
      </c>
      <c r="F5" s="166">
        <f t="shared" si="1"/>
        <v>0</v>
      </c>
      <c r="G5" s="166">
        <f t="shared" si="2"/>
        <v>23.498399548107699</v>
      </c>
      <c r="H5" s="166">
        <f t="shared" si="3"/>
        <v>23.498399548107699</v>
      </c>
      <c r="I5" s="164">
        <f t="shared" si="4"/>
        <v>62565</v>
      </c>
      <c r="J5" s="164">
        <f t="shared" si="5"/>
        <v>1470177.3677273581</v>
      </c>
      <c r="K5" s="164">
        <f t="shared" si="6"/>
        <v>455754.98399548104</v>
      </c>
      <c r="L5" s="164">
        <v>0</v>
      </c>
      <c r="M5" s="164">
        <f t="shared" si="7"/>
        <v>1925932.3517228393</v>
      </c>
      <c r="N5" s="149">
        <v>0</v>
      </c>
      <c r="O5" s="149">
        <f t="shared" si="8"/>
        <v>1925932.3517228393</v>
      </c>
    </row>
    <row r="6" spans="1:15" ht="13.5" customHeight="1" x14ac:dyDescent="0.35">
      <c r="A6" s="170">
        <v>11001</v>
      </c>
      <c r="B6" s="170" t="s">
        <v>201</v>
      </c>
      <c r="C6" s="167">
        <v>320</v>
      </c>
      <c r="D6" s="169">
        <v>3</v>
      </c>
      <c r="E6" s="166">
        <f t="shared" si="0"/>
        <v>12.9</v>
      </c>
      <c r="F6" s="166">
        <f t="shared" si="1"/>
        <v>0.23255813953488372</v>
      </c>
      <c r="G6" s="166">
        <f t="shared" si="2"/>
        <v>24.806201550387595</v>
      </c>
      <c r="H6" s="166">
        <f t="shared" si="3"/>
        <v>25.038759689922479</v>
      </c>
      <c r="I6" s="164">
        <f t="shared" si="4"/>
        <v>62565</v>
      </c>
      <c r="J6" s="164">
        <f t="shared" si="5"/>
        <v>1566550</v>
      </c>
      <c r="K6" s="164">
        <f t="shared" si="6"/>
        <v>485630.5</v>
      </c>
      <c r="L6" s="164">
        <v>0</v>
      </c>
      <c r="M6" s="164">
        <f t="shared" si="7"/>
        <v>2052180.5</v>
      </c>
      <c r="N6" s="149">
        <v>0</v>
      </c>
      <c r="O6" s="149">
        <f t="shared" si="8"/>
        <v>2052180.5</v>
      </c>
    </row>
    <row r="7" spans="1:15" ht="13.5" customHeight="1" x14ac:dyDescent="0.35">
      <c r="A7" s="170">
        <v>38001</v>
      </c>
      <c r="B7" s="170" t="s">
        <v>202</v>
      </c>
      <c r="C7" s="167">
        <v>275</v>
      </c>
      <c r="D7" s="169">
        <v>0</v>
      </c>
      <c r="E7" s="166">
        <f t="shared" si="0"/>
        <v>12.5625</v>
      </c>
      <c r="F7" s="166">
        <f t="shared" si="1"/>
        <v>0</v>
      </c>
      <c r="G7" s="166">
        <f t="shared" si="2"/>
        <v>21.890547263681594</v>
      </c>
      <c r="H7" s="166">
        <f t="shared" si="3"/>
        <v>21.890547263681594</v>
      </c>
      <c r="I7" s="164">
        <f t="shared" si="4"/>
        <v>62565</v>
      </c>
      <c r="J7" s="164">
        <f t="shared" si="5"/>
        <v>1369582.0895522388</v>
      </c>
      <c r="K7" s="164">
        <f t="shared" si="6"/>
        <v>424570.44776119402</v>
      </c>
      <c r="L7" s="164">
        <v>0</v>
      </c>
      <c r="M7" s="164">
        <f t="shared" si="7"/>
        <v>1794152.5373134329</v>
      </c>
      <c r="N7" s="149">
        <v>0</v>
      </c>
      <c r="O7" s="149">
        <f t="shared" si="8"/>
        <v>1794152.5373134329</v>
      </c>
    </row>
    <row r="8" spans="1:15" ht="13.5" customHeight="1" x14ac:dyDescent="0.35">
      <c r="A8" s="170">
        <v>21001</v>
      </c>
      <c r="B8" s="170" t="s">
        <v>203</v>
      </c>
      <c r="C8" s="167">
        <v>173</v>
      </c>
      <c r="D8" s="169">
        <v>0</v>
      </c>
      <c r="E8" s="166">
        <f t="shared" si="0"/>
        <v>12</v>
      </c>
      <c r="F8" s="166">
        <f t="shared" si="1"/>
        <v>0</v>
      </c>
      <c r="G8" s="166">
        <f t="shared" si="2"/>
        <v>14.416666666666666</v>
      </c>
      <c r="H8" s="166">
        <f t="shared" si="3"/>
        <v>14.416666666666666</v>
      </c>
      <c r="I8" s="164">
        <f t="shared" si="4"/>
        <v>62565</v>
      </c>
      <c r="J8" s="164">
        <f t="shared" si="5"/>
        <v>901978.75</v>
      </c>
      <c r="K8" s="164">
        <f t="shared" si="6"/>
        <v>279613.41249999998</v>
      </c>
      <c r="L8" s="164">
        <v>0</v>
      </c>
      <c r="M8" s="164">
        <f t="shared" si="7"/>
        <v>1181592.1625000001</v>
      </c>
      <c r="N8" s="149">
        <v>0</v>
      </c>
      <c r="O8" s="149">
        <f t="shared" si="8"/>
        <v>1181592.1625000001</v>
      </c>
    </row>
    <row r="9" spans="1:15" ht="13.5" customHeight="1" x14ac:dyDescent="0.35">
      <c r="A9" s="170">
        <v>4001</v>
      </c>
      <c r="B9" s="170" t="s">
        <v>204</v>
      </c>
      <c r="C9" s="167">
        <v>256</v>
      </c>
      <c r="D9" s="169">
        <v>0</v>
      </c>
      <c r="E9" s="166">
        <f t="shared" si="0"/>
        <v>12.42</v>
      </c>
      <c r="F9" s="166">
        <f t="shared" si="1"/>
        <v>0</v>
      </c>
      <c r="G9" s="166">
        <f t="shared" si="2"/>
        <v>20.611916264090176</v>
      </c>
      <c r="H9" s="166">
        <f t="shared" si="3"/>
        <v>20.611916264090176</v>
      </c>
      <c r="I9" s="164">
        <f t="shared" si="4"/>
        <v>62565</v>
      </c>
      <c r="J9" s="164">
        <f t="shared" si="5"/>
        <v>1289584.5410628018</v>
      </c>
      <c r="K9" s="164">
        <f t="shared" si="6"/>
        <v>399771.20772946859</v>
      </c>
      <c r="L9" s="164">
        <v>0</v>
      </c>
      <c r="M9" s="164">
        <f t="shared" si="7"/>
        <v>1689355.7487922704</v>
      </c>
      <c r="N9" s="149">
        <v>0</v>
      </c>
      <c r="O9" s="149">
        <f t="shared" si="8"/>
        <v>1689355.7487922704</v>
      </c>
    </row>
    <row r="10" spans="1:15" ht="13.5" customHeight="1" x14ac:dyDescent="0.35">
      <c r="A10" s="170">
        <v>49001</v>
      </c>
      <c r="B10" s="170" t="s">
        <v>205</v>
      </c>
      <c r="C10" s="167">
        <v>498</v>
      </c>
      <c r="D10" s="169">
        <v>0</v>
      </c>
      <c r="E10" s="166">
        <f t="shared" si="0"/>
        <v>14.234999999999999</v>
      </c>
      <c r="F10" s="166">
        <f t="shared" si="1"/>
        <v>0</v>
      </c>
      <c r="G10" s="166">
        <f t="shared" si="2"/>
        <v>34.98419388830348</v>
      </c>
      <c r="H10" s="166">
        <f t="shared" si="3"/>
        <v>34.98419388830348</v>
      </c>
      <c r="I10" s="164">
        <f t="shared" si="4"/>
        <v>62565</v>
      </c>
      <c r="J10" s="164">
        <f t="shared" si="5"/>
        <v>2188786.090621707</v>
      </c>
      <c r="K10" s="164">
        <f t="shared" si="6"/>
        <v>678523.68809272919</v>
      </c>
      <c r="L10" s="164">
        <v>0</v>
      </c>
      <c r="M10" s="164">
        <f t="shared" si="7"/>
        <v>2867309.7787144361</v>
      </c>
      <c r="N10" s="149">
        <v>0</v>
      </c>
      <c r="O10" s="149">
        <f t="shared" si="8"/>
        <v>2867309.7787144361</v>
      </c>
    </row>
    <row r="11" spans="1:15" ht="13.5" customHeight="1" x14ac:dyDescent="0.35">
      <c r="A11" s="170">
        <v>9001</v>
      </c>
      <c r="B11" s="170" t="s">
        <v>206</v>
      </c>
      <c r="C11" s="167">
        <v>1373.92</v>
      </c>
      <c r="D11" s="169">
        <v>0.75</v>
      </c>
      <c r="E11" s="166">
        <f t="shared" si="0"/>
        <v>15</v>
      </c>
      <c r="F11" s="166">
        <f t="shared" si="1"/>
        <v>0.05</v>
      </c>
      <c r="G11" s="166">
        <f t="shared" si="2"/>
        <v>91.594666666666669</v>
      </c>
      <c r="H11" s="166">
        <f t="shared" si="3"/>
        <v>91.644666666666666</v>
      </c>
      <c r="I11" s="164">
        <f t="shared" si="4"/>
        <v>62565</v>
      </c>
      <c r="J11" s="164">
        <f t="shared" si="5"/>
        <v>5733748.5700000003</v>
      </c>
      <c r="K11" s="164">
        <f t="shared" si="6"/>
        <v>1777462.0567000001</v>
      </c>
      <c r="L11" s="164">
        <v>0</v>
      </c>
      <c r="M11" s="164">
        <f t="shared" si="7"/>
        <v>7511210.6267000008</v>
      </c>
      <c r="N11" s="149">
        <v>0</v>
      </c>
      <c r="O11" s="149">
        <f t="shared" si="8"/>
        <v>7511210.6267000008</v>
      </c>
    </row>
    <row r="12" spans="1:15" ht="13.5" customHeight="1" x14ac:dyDescent="0.35">
      <c r="A12" s="170">
        <v>3001</v>
      </c>
      <c r="B12" s="170" t="s">
        <v>207</v>
      </c>
      <c r="C12" s="167">
        <v>480</v>
      </c>
      <c r="D12" s="169">
        <v>0</v>
      </c>
      <c r="E12" s="166">
        <f t="shared" si="0"/>
        <v>14.1</v>
      </c>
      <c r="F12" s="166">
        <f t="shared" si="1"/>
        <v>0</v>
      </c>
      <c r="G12" s="166">
        <f t="shared" si="2"/>
        <v>34.042553191489361</v>
      </c>
      <c r="H12" s="166">
        <f t="shared" si="3"/>
        <v>34.042553191489361</v>
      </c>
      <c r="I12" s="164">
        <f t="shared" si="4"/>
        <v>62565</v>
      </c>
      <c r="J12" s="164">
        <f t="shared" si="5"/>
        <v>2129872.3404255318</v>
      </c>
      <c r="K12" s="164">
        <f t="shared" si="6"/>
        <v>660260.42553191492</v>
      </c>
      <c r="L12" s="164">
        <v>0</v>
      </c>
      <c r="M12" s="164">
        <f t="shared" si="7"/>
        <v>2790132.7659574468</v>
      </c>
      <c r="N12" s="149">
        <v>0</v>
      </c>
      <c r="O12" s="149">
        <f t="shared" si="8"/>
        <v>2790132.7659574468</v>
      </c>
    </row>
    <row r="13" spans="1:15" ht="13.5" customHeight="1" x14ac:dyDescent="0.35">
      <c r="A13" s="170">
        <v>61002</v>
      </c>
      <c r="B13" s="170" t="s">
        <v>208</v>
      </c>
      <c r="C13" s="167">
        <v>675</v>
      </c>
      <c r="D13" s="169">
        <v>0</v>
      </c>
      <c r="E13" s="166">
        <f t="shared" si="0"/>
        <v>15</v>
      </c>
      <c r="F13" s="166">
        <f t="shared" si="1"/>
        <v>0</v>
      </c>
      <c r="G13" s="166">
        <f t="shared" si="2"/>
        <v>45</v>
      </c>
      <c r="H13" s="166">
        <f t="shared" si="3"/>
        <v>45</v>
      </c>
      <c r="I13" s="164">
        <f t="shared" si="4"/>
        <v>62565</v>
      </c>
      <c r="J13" s="164">
        <f t="shared" si="5"/>
        <v>2815425</v>
      </c>
      <c r="K13" s="164">
        <f t="shared" si="6"/>
        <v>872781.75</v>
      </c>
      <c r="L13" s="164">
        <v>0</v>
      </c>
      <c r="M13" s="164">
        <f t="shared" si="7"/>
        <v>3688206.75</v>
      </c>
      <c r="N13" s="149">
        <v>0</v>
      </c>
      <c r="O13" s="149">
        <f t="shared" si="8"/>
        <v>3688206.75</v>
      </c>
    </row>
    <row r="14" spans="1:15" ht="13.5" customHeight="1" x14ac:dyDescent="0.35">
      <c r="A14" s="170">
        <v>25001</v>
      </c>
      <c r="B14" s="170" t="s">
        <v>209</v>
      </c>
      <c r="C14" s="167">
        <v>96</v>
      </c>
      <c r="D14" s="169">
        <v>0</v>
      </c>
      <c r="E14" s="166">
        <f t="shared" si="0"/>
        <v>12</v>
      </c>
      <c r="F14" s="166">
        <f t="shared" si="1"/>
        <v>0</v>
      </c>
      <c r="G14" s="166">
        <f t="shared" si="2"/>
        <v>8</v>
      </c>
      <c r="H14" s="166">
        <f t="shared" si="3"/>
        <v>8</v>
      </c>
      <c r="I14" s="164">
        <f t="shared" si="4"/>
        <v>62565</v>
      </c>
      <c r="J14" s="164">
        <f t="shared" si="5"/>
        <v>500520</v>
      </c>
      <c r="K14" s="164">
        <f t="shared" si="6"/>
        <v>155161.20000000001</v>
      </c>
      <c r="L14" s="164">
        <v>0</v>
      </c>
      <c r="M14" s="164">
        <f t="shared" si="7"/>
        <v>655681.19999999995</v>
      </c>
      <c r="N14" s="149">
        <v>0</v>
      </c>
      <c r="O14" s="149">
        <f t="shared" si="8"/>
        <v>655681.19999999995</v>
      </c>
    </row>
    <row r="15" spans="1:15" ht="13.5" customHeight="1" x14ac:dyDescent="0.35">
      <c r="A15" s="170">
        <v>52001</v>
      </c>
      <c r="B15" s="170" t="s">
        <v>210</v>
      </c>
      <c r="C15" s="167">
        <v>149</v>
      </c>
      <c r="D15" s="169">
        <v>0</v>
      </c>
      <c r="E15" s="166">
        <f t="shared" si="0"/>
        <v>12</v>
      </c>
      <c r="F15" s="166">
        <f t="shared" si="1"/>
        <v>0</v>
      </c>
      <c r="G15" s="166">
        <f t="shared" si="2"/>
        <v>12.416666666666666</v>
      </c>
      <c r="H15" s="166">
        <f t="shared" si="3"/>
        <v>12.416666666666666</v>
      </c>
      <c r="I15" s="164">
        <f t="shared" si="4"/>
        <v>62565</v>
      </c>
      <c r="J15" s="164">
        <f t="shared" si="5"/>
        <v>776848.75</v>
      </c>
      <c r="K15" s="164">
        <f t="shared" si="6"/>
        <v>240823.11249999999</v>
      </c>
      <c r="L15" s="164">
        <v>0</v>
      </c>
      <c r="M15" s="164">
        <f t="shared" si="7"/>
        <v>1017671.8625</v>
      </c>
      <c r="N15" s="149">
        <v>0</v>
      </c>
      <c r="O15" s="149">
        <f t="shared" si="8"/>
        <v>1017671.8625</v>
      </c>
    </row>
    <row r="16" spans="1:15" ht="13.5" customHeight="1" x14ac:dyDescent="0.35">
      <c r="A16" s="170">
        <v>4002</v>
      </c>
      <c r="B16" s="170" t="s">
        <v>211</v>
      </c>
      <c r="C16" s="167">
        <v>510</v>
      </c>
      <c r="D16" s="169">
        <v>3.75</v>
      </c>
      <c r="E16" s="166">
        <f t="shared" si="0"/>
        <v>14.324999999999999</v>
      </c>
      <c r="F16" s="166">
        <f t="shared" si="1"/>
        <v>0.26178010471204188</v>
      </c>
      <c r="G16" s="166">
        <f t="shared" si="2"/>
        <v>35.602094240837701</v>
      </c>
      <c r="H16" s="166">
        <f t="shared" si="3"/>
        <v>35.863874345549746</v>
      </c>
      <c r="I16" s="164">
        <f t="shared" si="4"/>
        <v>62565</v>
      </c>
      <c r="J16" s="164">
        <f t="shared" si="5"/>
        <v>2243823.2984293201</v>
      </c>
      <c r="K16" s="164">
        <f t="shared" si="6"/>
        <v>695585.22251308919</v>
      </c>
      <c r="L16" s="164">
        <v>0</v>
      </c>
      <c r="M16" s="164">
        <f t="shared" si="7"/>
        <v>2939408.5209424095</v>
      </c>
      <c r="N16" s="149">
        <v>0</v>
      </c>
      <c r="O16" s="149">
        <f t="shared" si="8"/>
        <v>2939408.5209424095</v>
      </c>
    </row>
    <row r="17" spans="1:15" ht="13.5" customHeight="1" x14ac:dyDescent="0.35">
      <c r="A17" s="170">
        <v>22001</v>
      </c>
      <c r="B17" s="170" t="s">
        <v>212</v>
      </c>
      <c r="C17" s="167">
        <v>110.2</v>
      </c>
      <c r="D17" s="169">
        <v>0</v>
      </c>
      <c r="E17" s="166">
        <f t="shared" si="0"/>
        <v>12</v>
      </c>
      <c r="F17" s="166">
        <f t="shared" si="1"/>
        <v>0</v>
      </c>
      <c r="G17" s="166">
        <f t="shared" si="2"/>
        <v>9.1833333333333336</v>
      </c>
      <c r="H17" s="166">
        <f t="shared" si="3"/>
        <v>9.1833333333333336</v>
      </c>
      <c r="I17" s="164">
        <f t="shared" si="4"/>
        <v>62565</v>
      </c>
      <c r="J17" s="164">
        <f t="shared" si="5"/>
        <v>574555.25</v>
      </c>
      <c r="K17" s="164">
        <f t="shared" si="6"/>
        <v>178112.1275</v>
      </c>
      <c r="L17" s="164">
        <v>0</v>
      </c>
      <c r="M17" s="164">
        <f t="shared" si="7"/>
        <v>752667.37749999994</v>
      </c>
      <c r="N17" s="149">
        <v>0</v>
      </c>
      <c r="O17" s="149">
        <f t="shared" si="8"/>
        <v>752667.37749999994</v>
      </c>
    </row>
    <row r="18" spans="1:15" ht="13.5" customHeight="1" x14ac:dyDescent="0.35">
      <c r="A18" s="170">
        <v>49002</v>
      </c>
      <c r="B18" s="170" t="s">
        <v>213</v>
      </c>
      <c r="C18" s="167">
        <v>3932.2</v>
      </c>
      <c r="D18" s="169">
        <v>4</v>
      </c>
      <c r="E18" s="166">
        <f t="shared" si="0"/>
        <v>15</v>
      </c>
      <c r="F18" s="166">
        <f t="shared" si="1"/>
        <v>0.26666666666666666</v>
      </c>
      <c r="G18" s="166">
        <f t="shared" si="2"/>
        <v>262.14666666666665</v>
      </c>
      <c r="H18" s="166">
        <f t="shared" si="3"/>
        <v>262.4133333333333</v>
      </c>
      <c r="I18" s="164">
        <f t="shared" si="4"/>
        <v>62565</v>
      </c>
      <c r="J18" s="164">
        <f t="shared" si="5"/>
        <v>16417890.199999997</v>
      </c>
      <c r="K18" s="164">
        <f t="shared" si="6"/>
        <v>5089545.9619999994</v>
      </c>
      <c r="L18" s="164">
        <v>0</v>
      </c>
      <c r="M18" s="164">
        <f t="shared" si="7"/>
        <v>21507436.161999997</v>
      </c>
      <c r="N18" s="149">
        <v>0</v>
      </c>
      <c r="O18" s="149">
        <f t="shared" si="8"/>
        <v>21507436.161999997</v>
      </c>
    </row>
    <row r="19" spans="1:15" ht="13.5" customHeight="1" x14ac:dyDescent="0.35">
      <c r="A19" s="170">
        <v>30003</v>
      </c>
      <c r="B19" s="170" t="s">
        <v>388</v>
      </c>
      <c r="C19" s="167">
        <v>322.10000000000002</v>
      </c>
      <c r="D19" s="169">
        <v>0.25</v>
      </c>
      <c r="E19" s="166">
        <f t="shared" si="0"/>
        <v>12.915749999999999</v>
      </c>
      <c r="F19" s="166">
        <f t="shared" si="1"/>
        <v>1.9356212376362196E-2</v>
      </c>
      <c r="G19" s="166">
        <f t="shared" si="2"/>
        <v>24.938544025705053</v>
      </c>
      <c r="H19" s="166">
        <f t="shared" si="3"/>
        <v>24.957900238081415</v>
      </c>
      <c r="I19" s="164">
        <f t="shared" si="4"/>
        <v>62565</v>
      </c>
      <c r="J19" s="164">
        <f t="shared" si="5"/>
        <v>1561491.0283955636</v>
      </c>
      <c r="K19" s="164">
        <f t="shared" si="6"/>
        <v>484062.21880262473</v>
      </c>
      <c r="L19" s="164">
        <v>0</v>
      </c>
      <c r="M19" s="164">
        <f t="shared" si="7"/>
        <v>2045553.2471981882</v>
      </c>
      <c r="N19" s="149">
        <v>0</v>
      </c>
      <c r="O19" s="149">
        <f t="shared" si="8"/>
        <v>2045553.2471981882</v>
      </c>
    </row>
    <row r="20" spans="1:15" ht="13.5" customHeight="1" x14ac:dyDescent="0.35">
      <c r="A20" s="170">
        <v>45004</v>
      </c>
      <c r="B20" s="170" t="s">
        <v>377</v>
      </c>
      <c r="C20" s="167">
        <v>409.24</v>
      </c>
      <c r="D20" s="169">
        <v>2.75</v>
      </c>
      <c r="E20" s="166">
        <f t="shared" si="0"/>
        <v>13.5693</v>
      </c>
      <c r="F20" s="166">
        <f t="shared" si="1"/>
        <v>0.20266336509620983</v>
      </c>
      <c r="G20" s="166">
        <f t="shared" si="2"/>
        <v>30.159256557081058</v>
      </c>
      <c r="H20" s="166">
        <f t="shared" si="3"/>
        <v>30.361919922177268</v>
      </c>
      <c r="I20" s="164">
        <f t="shared" si="4"/>
        <v>62565</v>
      </c>
      <c r="J20" s="164">
        <f t="shared" si="5"/>
        <v>1899593.5199310207</v>
      </c>
      <c r="K20" s="164">
        <f t="shared" si="6"/>
        <v>588873.99117861642</v>
      </c>
      <c r="L20" s="164">
        <v>0</v>
      </c>
      <c r="M20" s="164">
        <f t="shared" si="7"/>
        <v>2488467.5111096371</v>
      </c>
      <c r="N20" s="149">
        <v>0</v>
      </c>
      <c r="O20" s="149">
        <f t="shared" si="8"/>
        <v>2488467.5111096371</v>
      </c>
    </row>
    <row r="21" spans="1:15" ht="13.5" customHeight="1" x14ac:dyDescent="0.35">
      <c r="A21" s="170">
        <v>5001</v>
      </c>
      <c r="B21" s="170" t="s">
        <v>216</v>
      </c>
      <c r="C21" s="167">
        <v>3341.87</v>
      </c>
      <c r="D21" s="169">
        <v>12.25</v>
      </c>
      <c r="E21" s="166">
        <f t="shared" si="0"/>
        <v>15</v>
      </c>
      <c r="F21" s="166">
        <f t="shared" si="1"/>
        <v>0.81666666666666665</v>
      </c>
      <c r="G21" s="166">
        <f t="shared" si="2"/>
        <v>222.79133333333331</v>
      </c>
      <c r="H21" s="166">
        <f t="shared" si="3"/>
        <v>223.60799999999998</v>
      </c>
      <c r="I21" s="164">
        <f t="shared" si="4"/>
        <v>62565</v>
      </c>
      <c r="J21" s="164">
        <f t="shared" si="5"/>
        <v>13990034.519999998</v>
      </c>
      <c r="K21" s="164">
        <f t="shared" si="6"/>
        <v>4336910.7011999991</v>
      </c>
      <c r="L21" s="164">
        <v>0</v>
      </c>
      <c r="M21" s="164">
        <f t="shared" si="7"/>
        <v>18326945.221199997</v>
      </c>
      <c r="N21" s="149">
        <v>0</v>
      </c>
      <c r="O21" s="149">
        <f t="shared" si="8"/>
        <v>18326945.221199997</v>
      </c>
    </row>
    <row r="22" spans="1:15" ht="13.5" customHeight="1" x14ac:dyDescent="0.35">
      <c r="A22" s="170">
        <v>26002</v>
      </c>
      <c r="B22" s="170" t="s">
        <v>217</v>
      </c>
      <c r="C22" s="167">
        <v>220</v>
      </c>
      <c r="D22" s="169">
        <v>0</v>
      </c>
      <c r="E22" s="166">
        <f t="shared" si="0"/>
        <v>12.15</v>
      </c>
      <c r="F22" s="166">
        <f t="shared" si="1"/>
        <v>0</v>
      </c>
      <c r="G22" s="166">
        <f t="shared" si="2"/>
        <v>18.106995884773664</v>
      </c>
      <c r="H22" s="166">
        <f t="shared" si="3"/>
        <v>18.106995884773664</v>
      </c>
      <c r="I22" s="164">
        <f t="shared" si="4"/>
        <v>62565</v>
      </c>
      <c r="J22" s="164">
        <f t="shared" si="5"/>
        <v>1132864.1975308643</v>
      </c>
      <c r="K22" s="164">
        <f t="shared" si="6"/>
        <v>351187.90123456792</v>
      </c>
      <c r="L22" s="164">
        <v>0</v>
      </c>
      <c r="M22" s="164">
        <f t="shared" si="7"/>
        <v>1484052.0987654321</v>
      </c>
      <c r="N22" s="149">
        <v>0</v>
      </c>
      <c r="O22" s="149">
        <f t="shared" si="8"/>
        <v>1484052.0987654321</v>
      </c>
    </row>
    <row r="23" spans="1:15" ht="13.5" customHeight="1" x14ac:dyDescent="0.35">
      <c r="A23" s="170">
        <v>43001</v>
      </c>
      <c r="B23" s="170" t="s">
        <v>218</v>
      </c>
      <c r="C23" s="167">
        <v>202.22</v>
      </c>
      <c r="D23" s="169">
        <v>0.25</v>
      </c>
      <c r="E23" s="166">
        <f t="shared" si="0"/>
        <v>12.01665</v>
      </c>
      <c r="F23" s="166">
        <f t="shared" si="1"/>
        <v>2.0804467135183267E-2</v>
      </c>
      <c r="G23" s="166">
        <f t="shared" si="2"/>
        <v>16.828317376307041</v>
      </c>
      <c r="H23" s="166">
        <f t="shared" si="3"/>
        <v>16.849121843442223</v>
      </c>
      <c r="I23" s="164">
        <f t="shared" si="4"/>
        <v>62565</v>
      </c>
      <c r="J23" s="164">
        <f t="shared" si="5"/>
        <v>1054165.3081349626</v>
      </c>
      <c r="K23" s="164">
        <f t="shared" si="6"/>
        <v>326791.24552183837</v>
      </c>
      <c r="L23" s="164">
        <v>0</v>
      </c>
      <c r="M23" s="164">
        <f t="shared" si="7"/>
        <v>1380956.5536568009</v>
      </c>
      <c r="N23" s="149">
        <v>0</v>
      </c>
      <c r="O23" s="149">
        <f t="shared" si="8"/>
        <v>1380956.5536568009</v>
      </c>
    </row>
    <row r="24" spans="1:15" ht="13.5" customHeight="1" x14ac:dyDescent="0.35">
      <c r="A24" s="170">
        <v>41001</v>
      </c>
      <c r="B24" s="170" t="s">
        <v>219</v>
      </c>
      <c r="C24" s="167">
        <v>880.5</v>
      </c>
      <c r="D24" s="169">
        <v>0.25</v>
      </c>
      <c r="E24" s="166">
        <f t="shared" si="0"/>
        <v>15</v>
      </c>
      <c r="F24" s="166">
        <f t="shared" si="1"/>
        <v>1.6666666666666666E-2</v>
      </c>
      <c r="G24" s="166">
        <f t="shared" si="2"/>
        <v>58.7</v>
      </c>
      <c r="H24" s="166">
        <f t="shared" si="3"/>
        <v>58.716666666666669</v>
      </c>
      <c r="I24" s="164">
        <f t="shared" si="4"/>
        <v>62565</v>
      </c>
      <c r="J24" s="164">
        <f t="shared" si="5"/>
        <v>3673608.25</v>
      </c>
      <c r="K24" s="164">
        <f t="shared" si="6"/>
        <v>1138818.5574999999</v>
      </c>
      <c r="L24" s="164">
        <v>6907</v>
      </c>
      <c r="M24" s="164">
        <f t="shared" si="7"/>
        <v>4819333.8075000001</v>
      </c>
      <c r="N24" s="149">
        <v>0</v>
      </c>
      <c r="O24" s="149">
        <f t="shared" si="8"/>
        <v>4819333.8075000001</v>
      </c>
    </row>
    <row r="25" spans="1:15" ht="13.5" customHeight="1" x14ac:dyDescent="0.35">
      <c r="A25" s="170">
        <v>28001</v>
      </c>
      <c r="B25" s="170" t="s">
        <v>220</v>
      </c>
      <c r="C25" s="167">
        <v>274</v>
      </c>
      <c r="D25" s="169">
        <v>0.25</v>
      </c>
      <c r="E25" s="166">
        <f t="shared" si="0"/>
        <v>12.555</v>
      </c>
      <c r="F25" s="166">
        <f t="shared" si="1"/>
        <v>1.9912385503783353E-2</v>
      </c>
      <c r="G25" s="166">
        <f t="shared" si="2"/>
        <v>21.823974512146556</v>
      </c>
      <c r="H25" s="166">
        <f t="shared" si="3"/>
        <v>21.843886897650339</v>
      </c>
      <c r="I25" s="164">
        <f t="shared" si="4"/>
        <v>62565</v>
      </c>
      <c r="J25" s="164">
        <f t="shared" si="5"/>
        <v>1366662.7837514936</v>
      </c>
      <c r="K25" s="164">
        <f t="shared" si="6"/>
        <v>423665.46296296298</v>
      </c>
      <c r="L25" s="164">
        <v>0</v>
      </c>
      <c r="M25" s="164">
        <f t="shared" si="7"/>
        <v>1790328.2467144565</v>
      </c>
      <c r="N25" s="149">
        <v>0</v>
      </c>
      <c r="O25" s="149">
        <f t="shared" si="8"/>
        <v>1790328.2467144565</v>
      </c>
    </row>
    <row r="26" spans="1:15" ht="13.5" customHeight="1" x14ac:dyDescent="0.35">
      <c r="A26" s="170">
        <v>60001</v>
      </c>
      <c r="B26" s="170" t="s">
        <v>221</v>
      </c>
      <c r="C26" s="167">
        <v>225.13</v>
      </c>
      <c r="D26" s="169">
        <v>0</v>
      </c>
      <c r="E26" s="166">
        <f t="shared" si="0"/>
        <v>12.188475</v>
      </c>
      <c r="F26" s="166">
        <f t="shared" si="1"/>
        <v>0</v>
      </c>
      <c r="G26" s="166">
        <f t="shared" si="2"/>
        <v>18.470727470007528</v>
      </c>
      <c r="H26" s="166">
        <f t="shared" si="3"/>
        <v>18.470727470007528</v>
      </c>
      <c r="I26" s="164">
        <f t="shared" si="4"/>
        <v>62565</v>
      </c>
      <c r="J26" s="164">
        <f t="shared" si="5"/>
        <v>1155621.064161021</v>
      </c>
      <c r="K26" s="164">
        <f t="shared" si="6"/>
        <v>358242.52988991654</v>
      </c>
      <c r="L26" s="164">
        <v>0</v>
      </c>
      <c r="M26" s="164">
        <f t="shared" si="7"/>
        <v>1513863.5940509376</v>
      </c>
      <c r="N26" s="149">
        <v>0</v>
      </c>
      <c r="O26" s="149">
        <f t="shared" si="8"/>
        <v>1513863.5940509376</v>
      </c>
    </row>
    <row r="27" spans="1:15" ht="13.5" customHeight="1" x14ac:dyDescent="0.35">
      <c r="A27" s="170">
        <v>7001</v>
      </c>
      <c r="B27" s="170" t="s">
        <v>222</v>
      </c>
      <c r="C27" s="167">
        <v>872.28</v>
      </c>
      <c r="D27" s="169">
        <v>0</v>
      </c>
      <c r="E27" s="166">
        <f t="shared" si="0"/>
        <v>15</v>
      </c>
      <c r="F27" s="166">
        <f t="shared" si="1"/>
        <v>0</v>
      </c>
      <c r="G27" s="166">
        <f t="shared" si="2"/>
        <v>58.152000000000001</v>
      </c>
      <c r="H27" s="166">
        <f t="shared" si="3"/>
        <v>58.152000000000001</v>
      </c>
      <c r="I27" s="164">
        <f t="shared" si="4"/>
        <v>62565</v>
      </c>
      <c r="J27" s="164">
        <f t="shared" si="5"/>
        <v>3638279.88</v>
      </c>
      <c r="K27" s="164">
        <f t="shared" si="6"/>
        <v>1127866.7627999999</v>
      </c>
      <c r="L27" s="164">
        <v>0</v>
      </c>
      <c r="M27" s="164">
        <f t="shared" si="7"/>
        <v>4766146.6427999996</v>
      </c>
      <c r="N27" s="149">
        <v>0</v>
      </c>
      <c r="O27" s="149">
        <f t="shared" si="8"/>
        <v>4766146.6427999996</v>
      </c>
    </row>
    <row r="28" spans="1:15" ht="13.5" customHeight="1" x14ac:dyDescent="0.35">
      <c r="A28" s="170">
        <v>39001</v>
      </c>
      <c r="B28" s="170" t="s">
        <v>376</v>
      </c>
      <c r="C28" s="167">
        <v>586</v>
      </c>
      <c r="D28" s="169">
        <v>2.25</v>
      </c>
      <c r="E28" s="166">
        <f t="shared" si="0"/>
        <v>14.895</v>
      </c>
      <c r="F28" s="166">
        <f t="shared" si="1"/>
        <v>0.15105740181268881</v>
      </c>
      <c r="G28" s="166">
        <f t="shared" si="2"/>
        <v>39.342061094326958</v>
      </c>
      <c r="H28" s="166">
        <f t="shared" si="3"/>
        <v>39.493118496139644</v>
      </c>
      <c r="I28" s="164">
        <f t="shared" si="4"/>
        <v>62565</v>
      </c>
      <c r="J28" s="164">
        <f t="shared" si="5"/>
        <v>2470886.9587109769</v>
      </c>
      <c r="K28" s="164">
        <f t="shared" si="6"/>
        <v>765974.95720040286</v>
      </c>
      <c r="L28" s="164">
        <v>0</v>
      </c>
      <c r="M28" s="164">
        <f t="shared" si="7"/>
        <v>3236861.9159113797</v>
      </c>
      <c r="N28" s="149">
        <v>0</v>
      </c>
      <c r="O28" s="149">
        <f t="shared" si="8"/>
        <v>3236861.9159113797</v>
      </c>
    </row>
    <row r="29" spans="1:15" ht="13.5" customHeight="1" x14ac:dyDescent="0.35">
      <c r="A29" s="170">
        <v>12002</v>
      </c>
      <c r="B29" s="170" t="s">
        <v>224</v>
      </c>
      <c r="C29" s="167">
        <v>351</v>
      </c>
      <c r="D29" s="169">
        <v>10.5</v>
      </c>
      <c r="E29" s="166">
        <f t="shared" si="0"/>
        <v>13.1325</v>
      </c>
      <c r="F29" s="166">
        <f t="shared" si="1"/>
        <v>0.79954311821816104</v>
      </c>
      <c r="G29" s="166">
        <f t="shared" si="2"/>
        <v>26.727584237578526</v>
      </c>
      <c r="H29" s="166">
        <f t="shared" si="3"/>
        <v>27.527127355796686</v>
      </c>
      <c r="I29" s="164">
        <f t="shared" si="4"/>
        <v>62565</v>
      </c>
      <c r="J29" s="164">
        <f t="shared" si="5"/>
        <v>1722234.7230154197</v>
      </c>
      <c r="K29" s="164">
        <f t="shared" si="6"/>
        <v>533892.76413478004</v>
      </c>
      <c r="L29" s="164">
        <v>0</v>
      </c>
      <c r="M29" s="164">
        <f t="shared" si="7"/>
        <v>2256127.4871501997</v>
      </c>
      <c r="N29" s="149">
        <v>0</v>
      </c>
      <c r="O29" s="149">
        <f t="shared" si="8"/>
        <v>2256127.4871501997</v>
      </c>
    </row>
    <row r="30" spans="1:15" ht="13.5" customHeight="1" x14ac:dyDescent="0.35">
      <c r="A30" s="170">
        <v>50005</v>
      </c>
      <c r="B30" s="170" t="s">
        <v>225</v>
      </c>
      <c r="C30" s="167">
        <v>250</v>
      </c>
      <c r="D30" s="169">
        <v>0</v>
      </c>
      <c r="E30" s="166">
        <f t="shared" si="0"/>
        <v>12.375</v>
      </c>
      <c r="F30" s="166">
        <f t="shared" si="1"/>
        <v>0</v>
      </c>
      <c r="G30" s="166">
        <f t="shared" si="2"/>
        <v>20.202020202020201</v>
      </c>
      <c r="H30" s="166">
        <f t="shared" si="3"/>
        <v>20.202020202020201</v>
      </c>
      <c r="I30" s="164">
        <f t="shared" si="4"/>
        <v>62565</v>
      </c>
      <c r="J30" s="164">
        <f t="shared" si="5"/>
        <v>1263939.3939393938</v>
      </c>
      <c r="K30" s="164">
        <f t="shared" si="6"/>
        <v>391821.2121212121</v>
      </c>
      <c r="L30" s="164">
        <v>0</v>
      </c>
      <c r="M30" s="164">
        <f t="shared" si="7"/>
        <v>1655760.606060606</v>
      </c>
      <c r="N30" s="149">
        <v>0</v>
      </c>
      <c r="O30" s="149">
        <f t="shared" si="8"/>
        <v>1655760.606060606</v>
      </c>
    </row>
    <row r="31" spans="1:15" ht="13.5" customHeight="1" x14ac:dyDescent="0.35">
      <c r="A31" s="170">
        <v>59003</v>
      </c>
      <c r="B31" s="170" t="s">
        <v>226</v>
      </c>
      <c r="C31" s="167">
        <v>228</v>
      </c>
      <c r="D31" s="169">
        <v>0</v>
      </c>
      <c r="E31" s="166">
        <f t="shared" si="0"/>
        <v>12.21</v>
      </c>
      <c r="F31" s="166">
        <f t="shared" si="1"/>
        <v>0</v>
      </c>
      <c r="G31" s="166">
        <f t="shared" si="2"/>
        <v>18.67321867321867</v>
      </c>
      <c r="H31" s="166">
        <f t="shared" si="3"/>
        <v>18.67321867321867</v>
      </c>
      <c r="I31" s="164">
        <f t="shared" si="4"/>
        <v>62565</v>
      </c>
      <c r="J31" s="164">
        <f t="shared" si="5"/>
        <v>1168289.9262899261</v>
      </c>
      <c r="K31" s="164">
        <f t="shared" si="6"/>
        <v>362169.87714987708</v>
      </c>
      <c r="L31" s="164">
        <v>0</v>
      </c>
      <c r="M31" s="164">
        <f t="shared" si="7"/>
        <v>1530459.8034398032</v>
      </c>
      <c r="N31" s="149">
        <v>0</v>
      </c>
      <c r="O31" s="149">
        <f t="shared" si="8"/>
        <v>1530459.8034398032</v>
      </c>
    </row>
    <row r="32" spans="1:15" ht="13.5" customHeight="1" x14ac:dyDescent="0.35">
      <c r="A32" s="170">
        <v>21003</v>
      </c>
      <c r="B32" s="170" t="s">
        <v>227</v>
      </c>
      <c r="C32" s="167">
        <v>246</v>
      </c>
      <c r="D32" s="169">
        <v>0</v>
      </c>
      <c r="E32" s="166">
        <f t="shared" si="0"/>
        <v>12.345000000000001</v>
      </c>
      <c r="F32" s="166">
        <f t="shared" si="1"/>
        <v>0</v>
      </c>
      <c r="G32" s="166">
        <f t="shared" si="2"/>
        <v>19.927095990279465</v>
      </c>
      <c r="H32" s="166">
        <f t="shared" si="3"/>
        <v>19.927095990279465</v>
      </c>
      <c r="I32" s="164">
        <f t="shared" si="4"/>
        <v>62565</v>
      </c>
      <c r="J32" s="164">
        <f t="shared" si="5"/>
        <v>1246738.7606318346</v>
      </c>
      <c r="K32" s="164">
        <f t="shared" si="6"/>
        <v>386489.01579586871</v>
      </c>
      <c r="L32" s="164">
        <v>0</v>
      </c>
      <c r="M32" s="164">
        <f t="shared" si="7"/>
        <v>1633227.7764277034</v>
      </c>
      <c r="N32" s="149">
        <v>0</v>
      </c>
      <c r="O32" s="149">
        <f t="shared" si="8"/>
        <v>1633227.7764277034</v>
      </c>
    </row>
    <row r="33" spans="1:15" ht="13.5" customHeight="1" x14ac:dyDescent="0.35">
      <c r="A33" s="170">
        <v>16001</v>
      </c>
      <c r="B33" s="170" t="s">
        <v>228</v>
      </c>
      <c r="C33" s="167">
        <v>881.16</v>
      </c>
      <c r="D33" s="169">
        <v>0.75</v>
      </c>
      <c r="E33" s="166">
        <f t="shared" si="0"/>
        <v>15</v>
      </c>
      <c r="F33" s="166">
        <f t="shared" si="1"/>
        <v>0.05</v>
      </c>
      <c r="G33" s="166">
        <f t="shared" si="2"/>
        <v>58.744</v>
      </c>
      <c r="H33" s="166">
        <f t="shared" si="3"/>
        <v>58.793999999999997</v>
      </c>
      <c r="I33" s="164">
        <f t="shared" si="4"/>
        <v>62565</v>
      </c>
      <c r="J33" s="164">
        <f t="shared" si="5"/>
        <v>3678446.61</v>
      </c>
      <c r="K33" s="164">
        <f t="shared" si="6"/>
        <v>1140318.4490999999</v>
      </c>
      <c r="L33" s="164">
        <v>0</v>
      </c>
      <c r="M33" s="164">
        <f t="shared" si="7"/>
        <v>4818765.0591000002</v>
      </c>
      <c r="N33" s="149">
        <v>0</v>
      </c>
      <c r="O33" s="149">
        <f t="shared" si="8"/>
        <v>4818765.0591000002</v>
      </c>
    </row>
    <row r="34" spans="1:15" ht="13.5" customHeight="1" x14ac:dyDescent="0.35">
      <c r="A34" s="170">
        <v>61008</v>
      </c>
      <c r="B34" s="170" t="s">
        <v>229</v>
      </c>
      <c r="C34" s="167">
        <v>1294.78</v>
      </c>
      <c r="D34" s="169">
        <v>1</v>
      </c>
      <c r="E34" s="166">
        <f t="shared" si="0"/>
        <v>15</v>
      </c>
      <c r="F34" s="166">
        <f t="shared" si="1"/>
        <v>6.6666666666666666E-2</v>
      </c>
      <c r="G34" s="166">
        <f t="shared" si="2"/>
        <v>86.318666666666658</v>
      </c>
      <c r="H34" s="166">
        <f t="shared" si="3"/>
        <v>86.385333333333321</v>
      </c>
      <c r="I34" s="164">
        <f t="shared" si="4"/>
        <v>62565</v>
      </c>
      <c r="J34" s="164">
        <f t="shared" si="5"/>
        <v>5404698.379999999</v>
      </c>
      <c r="K34" s="164">
        <f t="shared" si="6"/>
        <v>1675456.4977999998</v>
      </c>
      <c r="L34" s="164">
        <v>0</v>
      </c>
      <c r="M34" s="164">
        <f t="shared" si="7"/>
        <v>7080154.877799999</v>
      </c>
      <c r="N34" s="149">
        <v>0</v>
      </c>
      <c r="O34" s="149">
        <f t="shared" si="8"/>
        <v>7080154.877799999</v>
      </c>
    </row>
    <row r="35" spans="1:15" ht="13.5" customHeight="1" x14ac:dyDescent="0.35">
      <c r="A35" s="170">
        <v>38002</v>
      </c>
      <c r="B35" s="170" t="s">
        <v>230</v>
      </c>
      <c r="C35" s="167">
        <v>308</v>
      </c>
      <c r="D35" s="169">
        <v>0</v>
      </c>
      <c r="E35" s="166">
        <f t="shared" si="0"/>
        <v>12.81</v>
      </c>
      <c r="F35" s="166">
        <f t="shared" si="1"/>
        <v>0</v>
      </c>
      <c r="G35" s="166">
        <f t="shared" si="2"/>
        <v>24.043715846994534</v>
      </c>
      <c r="H35" s="166">
        <f t="shared" si="3"/>
        <v>24.043715846994534</v>
      </c>
      <c r="I35" s="164">
        <f t="shared" si="4"/>
        <v>62565</v>
      </c>
      <c r="J35" s="164">
        <f t="shared" si="5"/>
        <v>1504295.081967213</v>
      </c>
      <c r="K35" s="164">
        <f t="shared" si="6"/>
        <v>466331.47540983604</v>
      </c>
      <c r="L35" s="164">
        <v>0</v>
      </c>
      <c r="M35" s="164">
        <f t="shared" si="7"/>
        <v>1970626.557377049</v>
      </c>
      <c r="N35" s="149">
        <v>0</v>
      </c>
      <c r="O35" s="149">
        <f t="shared" si="8"/>
        <v>1970626.557377049</v>
      </c>
    </row>
    <row r="36" spans="1:15" ht="13.5" customHeight="1" x14ac:dyDescent="0.35">
      <c r="A36" s="170">
        <v>49003</v>
      </c>
      <c r="B36" s="170" t="s">
        <v>231</v>
      </c>
      <c r="C36" s="167">
        <v>912.02</v>
      </c>
      <c r="D36" s="169">
        <v>1</v>
      </c>
      <c r="E36" s="166">
        <f t="shared" si="0"/>
        <v>15</v>
      </c>
      <c r="F36" s="166">
        <f t="shared" si="1"/>
        <v>6.6666666666666666E-2</v>
      </c>
      <c r="G36" s="166">
        <f t="shared" si="2"/>
        <v>60.801333333333332</v>
      </c>
      <c r="H36" s="166">
        <f t="shared" si="3"/>
        <v>60.868000000000002</v>
      </c>
      <c r="I36" s="164">
        <f t="shared" si="4"/>
        <v>62565</v>
      </c>
      <c r="J36" s="164">
        <f t="shared" si="5"/>
        <v>3808206.42</v>
      </c>
      <c r="K36" s="164">
        <f t="shared" si="6"/>
        <v>1180543.9901999999</v>
      </c>
      <c r="L36" s="164">
        <v>0</v>
      </c>
      <c r="M36" s="164">
        <f t="shared" si="7"/>
        <v>4988750.4101999998</v>
      </c>
      <c r="N36" s="149">
        <v>0</v>
      </c>
      <c r="O36" s="149">
        <f t="shared" si="8"/>
        <v>4988750.4101999998</v>
      </c>
    </row>
    <row r="37" spans="1:15" ht="13.5" customHeight="1" x14ac:dyDescent="0.35">
      <c r="A37" s="170">
        <v>5006</v>
      </c>
      <c r="B37" s="170" t="s">
        <v>375</v>
      </c>
      <c r="C37" s="167">
        <v>344</v>
      </c>
      <c r="D37" s="169">
        <v>2.5</v>
      </c>
      <c r="E37" s="166">
        <f t="shared" si="0"/>
        <v>13.08</v>
      </c>
      <c r="F37" s="166">
        <f t="shared" si="1"/>
        <v>0.19113149847094801</v>
      </c>
      <c r="G37" s="166">
        <f t="shared" si="2"/>
        <v>26.299694189602448</v>
      </c>
      <c r="H37" s="166">
        <f t="shared" si="3"/>
        <v>26.490825688073397</v>
      </c>
      <c r="I37" s="164">
        <f t="shared" si="4"/>
        <v>62565</v>
      </c>
      <c r="J37" s="164">
        <f t="shared" si="5"/>
        <v>1657398.509174312</v>
      </c>
      <c r="K37" s="164">
        <f t="shared" si="6"/>
        <v>513793.53784403671</v>
      </c>
      <c r="L37" s="164">
        <v>0</v>
      </c>
      <c r="M37" s="164">
        <f t="shared" si="7"/>
        <v>2171192.0470183487</v>
      </c>
      <c r="N37" s="149">
        <v>0</v>
      </c>
      <c r="O37" s="149">
        <f t="shared" si="8"/>
        <v>2171192.0470183487</v>
      </c>
    </row>
    <row r="38" spans="1:15" ht="13.5" customHeight="1" x14ac:dyDescent="0.35">
      <c r="A38" s="170">
        <v>19004</v>
      </c>
      <c r="B38" s="170" t="s">
        <v>233</v>
      </c>
      <c r="C38" s="167">
        <v>482</v>
      </c>
      <c r="D38" s="169">
        <v>1</v>
      </c>
      <c r="E38" s="166">
        <f t="shared" si="0"/>
        <v>14.115</v>
      </c>
      <c r="F38" s="166">
        <f t="shared" si="1"/>
        <v>7.084661707403471E-2</v>
      </c>
      <c r="G38" s="166">
        <f t="shared" si="2"/>
        <v>34.148069429684732</v>
      </c>
      <c r="H38" s="166">
        <f t="shared" si="3"/>
        <v>34.218916046758764</v>
      </c>
      <c r="I38" s="164">
        <f t="shared" si="4"/>
        <v>62565</v>
      </c>
      <c r="J38" s="164">
        <f t="shared" si="5"/>
        <v>2140906.4824654623</v>
      </c>
      <c r="K38" s="164">
        <f t="shared" si="6"/>
        <v>663681.00956429332</v>
      </c>
      <c r="L38" s="164">
        <v>0</v>
      </c>
      <c r="M38" s="164">
        <f t="shared" si="7"/>
        <v>2804587.4920297554</v>
      </c>
      <c r="N38" s="149">
        <v>0</v>
      </c>
      <c r="O38" s="149">
        <f t="shared" si="8"/>
        <v>2804587.4920297554</v>
      </c>
    </row>
    <row r="39" spans="1:15" ht="13.5" customHeight="1" x14ac:dyDescent="0.35">
      <c r="A39" s="170">
        <v>56002</v>
      </c>
      <c r="B39" s="170" t="s">
        <v>234</v>
      </c>
      <c r="C39" s="167">
        <v>170</v>
      </c>
      <c r="D39" s="169">
        <v>3.25</v>
      </c>
      <c r="E39" s="166">
        <f t="shared" si="0"/>
        <v>12</v>
      </c>
      <c r="F39" s="166">
        <f t="shared" si="1"/>
        <v>0.27083333333333331</v>
      </c>
      <c r="G39" s="166">
        <f t="shared" si="2"/>
        <v>14.166666666666666</v>
      </c>
      <c r="H39" s="166">
        <f t="shared" si="3"/>
        <v>14.4375</v>
      </c>
      <c r="I39" s="164">
        <f t="shared" si="4"/>
        <v>62565</v>
      </c>
      <c r="J39" s="164">
        <f t="shared" si="5"/>
        <v>903282.1875</v>
      </c>
      <c r="K39" s="164">
        <f t="shared" si="6"/>
        <v>280017.47812500002</v>
      </c>
      <c r="L39" s="164">
        <v>0</v>
      </c>
      <c r="M39" s="164">
        <f t="shared" si="7"/>
        <v>1183299.6656249999</v>
      </c>
      <c r="N39" s="149">
        <v>0</v>
      </c>
      <c r="O39" s="149">
        <f t="shared" si="8"/>
        <v>1183299.6656249999</v>
      </c>
    </row>
    <row r="40" spans="1:15" ht="13.5" customHeight="1" x14ac:dyDescent="0.35">
      <c r="A40" s="170">
        <v>51001</v>
      </c>
      <c r="B40" s="170" t="s">
        <v>235</v>
      </c>
      <c r="C40" s="167">
        <v>2788</v>
      </c>
      <c r="D40" s="169">
        <v>0.5</v>
      </c>
      <c r="E40" s="166">
        <f t="shared" si="0"/>
        <v>15</v>
      </c>
      <c r="F40" s="166">
        <f t="shared" si="1"/>
        <v>3.3333333333333333E-2</v>
      </c>
      <c r="G40" s="166">
        <f t="shared" si="2"/>
        <v>185.86666666666667</v>
      </c>
      <c r="H40" s="166">
        <f t="shared" si="3"/>
        <v>185.9</v>
      </c>
      <c r="I40" s="164">
        <f t="shared" si="4"/>
        <v>62565</v>
      </c>
      <c r="J40" s="164">
        <f t="shared" si="5"/>
        <v>11630833.5</v>
      </c>
      <c r="K40" s="164">
        <f t="shared" si="6"/>
        <v>3605558.3849999998</v>
      </c>
      <c r="L40" s="164">
        <v>0</v>
      </c>
      <c r="M40" s="164">
        <f t="shared" si="7"/>
        <v>15236391.885</v>
      </c>
      <c r="N40" s="149">
        <v>0</v>
      </c>
      <c r="O40" s="149">
        <f t="shared" si="8"/>
        <v>15236391.885</v>
      </c>
    </row>
    <row r="41" spans="1:15" ht="13.5" customHeight="1" x14ac:dyDescent="0.35">
      <c r="A41" s="170">
        <v>64002</v>
      </c>
      <c r="B41" s="170" t="s">
        <v>236</v>
      </c>
      <c r="C41" s="167">
        <v>389</v>
      </c>
      <c r="D41" s="169">
        <v>0.5</v>
      </c>
      <c r="E41" s="166">
        <f t="shared" si="0"/>
        <v>13.4175</v>
      </c>
      <c r="F41" s="166">
        <f t="shared" si="1"/>
        <v>3.7264766163592325E-2</v>
      </c>
      <c r="G41" s="166">
        <f t="shared" si="2"/>
        <v>28.991988075274826</v>
      </c>
      <c r="H41" s="166">
        <f t="shared" si="3"/>
        <v>29.029252841438417</v>
      </c>
      <c r="I41" s="164">
        <f t="shared" si="4"/>
        <v>62565</v>
      </c>
      <c r="J41" s="164">
        <f t="shared" si="5"/>
        <v>1816215.2040245945</v>
      </c>
      <c r="K41" s="164">
        <f t="shared" si="6"/>
        <v>563026.71324762434</v>
      </c>
      <c r="L41" s="164">
        <v>0</v>
      </c>
      <c r="M41" s="164">
        <f t="shared" si="7"/>
        <v>2379241.917272219</v>
      </c>
      <c r="N41" s="149">
        <v>0</v>
      </c>
      <c r="O41" s="149">
        <f t="shared" si="8"/>
        <v>2379241.917272219</v>
      </c>
    </row>
    <row r="42" spans="1:15" ht="13.5" customHeight="1" x14ac:dyDescent="0.35">
      <c r="A42" s="170">
        <v>20001</v>
      </c>
      <c r="B42" s="170" t="s">
        <v>237</v>
      </c>
      <c r="C42" s="167">
        <v>331.02</v>
      </c>
      <c r="D42" s="169">
        <v>0</v>
      </c>
      <c r="E42" s="166">
        <f t="shared" si="0"/>
        <v>12.98265</v>
      </c>
      <c r="F42" s="166">
        <f t="shared" si="1"/>
        <v>0</v>
      </c>
      <c r="G42" s="166">
        <f t="shared" si="2"/>
        <v>25.497105752677612</v>
      </c>
      <c r="H42" s="166">
        <f t="shared" si="3"/>
        <v>25.497105752677612</v>
      </c>
      <c r="I42" s="164">
        <f t="shared" si="4"/>
        <v>62565</v>
      </c>
      <c r="J42" s="164">
        <f t="shared" si="5"/>
        <v>1595226.4214162747</v>
      </c>
      <c r="K42" s="164">
        <f t="shared" si="6"/>
        <v>494520.19063904515</v>
      </c>
      <c r="L42" s="164">
        <v>0</v>
      </c>
      <c r="M42" s="164">
        <f t="shared" si="7"/>
        <v>2089746.6120553198</v>
      </c>
      <c r="N42" s="149">
        <v>0</v>
      </c>
      <c r="O42" s="149">
        <f t="shared" si="8"/>
        <v>2089746.6120553198</v>
      </c>
    </row>
    <row r="43" spans="1:15" ht="13.5" customHeight="1" x14ac:dyDescent="0.35">
      <c r="A43" s="170">
        <v>23001</v>
      </c>
      <c r="B43" s="170" t="s">
        <v>238</v>
      </c>
      <c r="C43" s="167">
        <v>142.13999999999999</v>
      </c>
      <c r="D43" s="169">
        <v>0</v>
      </c>
      <c r="E43" s="166">
        <f t="shared" si="0"/>
        <v>12</v>
      </c>
      <c r="F43" s="166">
        <f t="shared" si="1"/>
        <v>0</v>
      </c>
      <c r="G43" s="166">
        <f t="shared" si="2"/>
        <v>11.844999999999999</v>
      </c>
      <c r="H43" s="166">
        <f t="shared" si="3"/>
        <v>11.844999999999999</v>
      </c>
      <c r="I43" s="164">
        <f t="shared" si="4"/>
        <v>62565</v>
      </c>
      <c r="J43" s="164">
        <f t="shared" si="5"/>
        <v>741082.42499999993</v>
      </c>
      <c r="K43" s="164">
        <f t="shared" si="6"/>
        <v>229735.55174999998</v>
      </c>
      <c r="L43" s="164">
        <v>0</v>
      </c>
      <c r="M43" s="164">
        <f t="shared" si="7"/>
        <v>970817.97674999991</v>
      </c>
      <c r="N43" s="149">
        <v>0</v>
      </c>
      <c r="O43" s="149">
        <f t="shared" si="8"/>
        <v>970817.97674999991</v>
      </c>
    </row>
    <row r="44" spans="1:15" ht="13.5" customHeight="1" x14ac:dyDescent="0.35">
      <c r="A44" s="170">
        <v>22005</v>
      </c>
      <c r="B44" s="170" t="s">
        <v>239</v>
      </c>
      <c r="C44" s="167">
        <v>128</v>
      </c>
      <c r="D44" s="169">
        <v>0</v>
      </c>
      <c r="E44" s="166">
        <f t="shared" si="0"/>
        <v>12</v>
      </c>
      <c r="F44" s="166">
        <f t="shared" si="1"/>
        <v>0</v>
      </c>
      <c r="G44" s="166">
        <f t="shared" si="2"/>
        <v>10.666666666666666</v>
      </c>
      <c r="H44" s="166">
        <f t="shared" si="3"/>
        <v>10.666666666666666</v>
      </c>
      <c r="I44" s="164">
        <f t="shared" si="4"/>
        <v>62565</v>
      </c>
      <c r="J44" s="164">
        <f t="shared" si="5"/>
        <v>667360</v>
      </c>
      <c r="K44" s="164">
        <f t="shared" si="6"/>
        <v>206881.6</v>
      </c>
      <c r="L44" s="164">
        <v>0</v>
      </c>
      <c r="M44" s="164">
        <f t="shared" si="7"/>
        <v>874241.6</v>
      </c>
      <c r="N44" s="149">
        <v>0</v>
      </c>
      <c r="O44" s="149">
        <f t="shared" si="8"/>
        <v>874241.6</v>
      </c>
    </row>
    <row r="45" spans="1:15" ht="13.5" customHeight="1" x14ac:dyDescent="0.35">
      <c r="A45" s="170">
        <v>16002</v>
      </c>
      <c r="B45" s="170" t="s">
        <v>240</v>
      </c>
      <c r="C45" s="167">
        <v>11</v>
      </c>
      <c r="D45" s="169">
        <v>0</v>
      </c>
      <c r="E45" s="166">
        <f t="shared" si="0"/>
        <v>12</v>
      </c>
      <c r="F45" s="166">
        <f t="shared" si="1"/>
        <v>0</v>
      </c>
      <c r="G45" s="166">
        <f t="shared" si="2"/>
        <v>0.91666666666666663</v>
      </c>
      <c r="H45" s="166">
        <f t="shared" si="3"/>
        <v>0.91666666666666663</v>
      </c>
      <c r="I45" s="164">
        <f t="shared" si="4"/>
        <v>62565</v>
      </c>
      <c r="J45" s="164">
        <f t="shared" si="5"/>
        <v>57351.25</v>
      </c>
      <c r="K45" s="164">
        <f t="shared" si="6"/>
        <v>17778.887500000001</v>
      </c>
      <c r="L45" s="164">
        <v>0</v>
      </c>
      <c r="M45" s="164">
        <f t="shared" si="7"/>
        <v>75130.137499999997</v>
      </c>
      <c r="N45" s="149">
        <v>0</v>
      </c>
      <c r="O45" s="149">
        <f t="shared" si="8"/>
        <v>75130.137499999997</v>
      </c>
    </row>
    <row r="46" spans="1:15" ht="13.5" customHeight="1" x14ac:dyDescent="0.35">
      <c r="A46" s="170">
        <v>61007</v>
      </c>
      <c r="B46" s="170" t="s">
        <v>241</v>
      </c>
      <c r="C46" s="167">
        <v>655</v>
      </c>
      <c r="D46" s="169">
        <v>0.5</v>
      </c>
      <c r="E46" s="166">
        <f t="shared" si="0"/>
        <v>15</v>
      </c>
      <c r="F46" s="166">
        <f t="shared" si="1"/>
        <v>3.3333333333333333E-2</v>
      </c>
      <c r="G46" s="166">
        <f t="shared" si="2"/>
        <v>43.666666666666664</v>
      </c>
      <c r="H46" s="166">
        <f t="shared" si="3"/>
        <v>43.699999999999996</v>
      </c>
      <c r="I46" s="164">
        <f t="shared" si="4"/>
        <v>62565</v>
      </c>
      <c r="J46" s="164">
        <f t="shared" si="5"/>
        <v>2734090.4999999995</v>
      </c>
      <c r="K46" s="164">
        <f t="shared" si="6"/>
        <v>847568.05499999982</v>
      </c>
      <c r="L46" s="164">
        <v>0</v>
      </c>
      <c r="M46" s="164">
        <f t="shared" si="7"/>
        <v>3581658.5549999992</v>
      </c>
      <c r="N46" s="149">
        <v>0</v>
      </c>
      <c r="O46" s="149">
        <f t="shared" si="8"/>
        <v>3581658.5549999992</v>
      </c>
    </row>
    <row r="47" spans="1:15" ht="13.5" customHeight="1" x14ac:dyDescent="0.35">
      <c r="A47" s="170">
        <v>5003</v>
      </c>
      <c r="B47" s="170" t="s">
        <v>242</v>
      </c>
      <c r="C47" s="167">
        <v>298</v>
      </c>
      <c r="D47" s="169">
        <v>3.75</v>
      </c>
      <c r="E47" s="166">
        <f t="shared" si="0"/>
        <v>12.734999999999999</v>
      </c>
      <c r="F47" s="166">
        <f t="shared" si="1"/>
        <v>0.29446407538280334</v>
      </c>
      <c r="G47" s="166">
        <f t="shared" si="2"/>
        <v>23.400078523753436</v>
      </c>
      <c r="H47" s="166">
        <f t="shared" si="3"/>
        <v>23.694542599136238</v>
      </c>
      <c r="I47" s="164">
        <f t="shared" si="4"/>
        <v>62565</v>
      </c>
      <c r="J47" s="164">
        <f t="shared" si="5"/>
        <v>1482449.0577149587</v>
      </c>
      <c r="K47" s="164">
        <f t="shared" si="6"/>
        <v>459559.20789163717</v>
      </c>
      <c r="L47" s="164">
        <v>0</v>
      </c>
      <c r="M47" s="164">
        <f t="shared" si="7"/>
        <v>1942008.2656065959</v>
      </c>
      <c r="N47" s="149">
        <v>0</v>
      </c>
      <c r="O47" s="149">
        <f t="shared" si="8"/>
        <v>1942008.2656065959</v>
      </c>
    </row>
    <row r="48" spans="1:15" ht="13.5" customHeight="1" x14ac:dyDescent="0.35">
      <c r="A48" s="170">
        <v>28002</v>
      </c>
      <c r="B48" s="170" t="s">
        <v>243</v>
      </c>
      <c r="C48" s="167">
        <v>261</v>
      </c>
      <c r="D48" s="169">
        <v>1.5</v>
      </c>
      <c r="E48" s="166">
        <f t="shared" si="0"/>
        <v>12.4575</v>
      </c>
      <c r="F48" s="166">
        <f t="shared" si="1"/>
        <v>0.12040939193257075</v>
      </c>
      <c r="G48" s="166">
        <f t="shared" si="2"/>
        <v>20.951234196267311</v>
      </c>
      <c r="H48" s="166">
        <f t="shared" si="3"/>
        <v>21.071643588199883</v>
      </c>
      <c r="I48" s="164">
        <f t="shared" si="4"/>
        <v>62565</v>
      </c>
      <c r="J48" s="164">
        <f t="shared" si="5"/>
        <v>1318347.3810957258</v>
      </c>
      <c r="K48" s="164">
        <f t="shared" si="6"/>
        <v>408687.68813967501</v>
      </c>
      <c r="L48" s="164">
        <v>0</v>
      </c>
      <c r="M48" s="164">
        <f t="shared" si="7"/>
        <v>1727035.0692354008</v>
      </c>
      <c r="N48" s="149">
        <v>0</v>
      </c>
      <c r="O48" s="149">
        <f t="shared" si="8"/>
        <v>1727035.0692354008</v>
      </c>
    </row>
    <row r="49" spans="1:15" ht="13.5" customHeight="1" x14ac:dyDescent="0.35">
      <c r="A49" s="170">
        <v>17001</v>
      </c>
      <c r="B49" s="170" t="s">
        <v>244</v>
      </c>
      <c r="C49" s="167">
        <v>250</v>
      </c>
      <c r="D49" s="169">
        <v>0.25</v>
      </c>
      <c r="E49" s="166">
        <f t="shared" si="0"/>
        <v>12.375</v>
      </c>
      <c r="F49" s="166">
        <f t="shared" si="1"/>
        <v>2.0202020202020204E-2</v>
      </c>
      <c r="G49" s="166">
        <f t="shared" si="2"/>
        <v>20.202020202020201</v>
      </c>
      <c r="H49" s="166">
        <f t="shared" si="3"/>
        <v>20.222222222222221</v>
      </c>
      <c r="I49" s="164">
        <f t="shared" si="4"/>
        <v>62565</v>
      </c>
      <c r="J49" s="164">
        <f t="shared" si="5"/>
        <v>1265203.3333333333</v>
      </c>
      <c r="K49" s="164">
        <f t="shared" si="6"/>
        <v>392213.03333333333</v>
      </c>
      <c r="L49" s="164">
        <v>0</v>
      </c>
      <c r="M49" s="164">
        <f t="shared" si="7"/>
        <v>1657416.3666666667</v>
      </c>
      <c r="N49" s="149">
        <v>0</v>
      </c>
      <c r="O49" s="149">
        <f t="shared" si="8"/>
        <v>1657416.3666666667</v>
      </c>
    </row>
    <row r="50" spans="1:15" ht="13.5" customHeight="1" x14ac:dyDescent="0.35">
      <c r="A50" s="170">
        <v>44001</v>
      </c>
      <c r="B50" s="170" t="s">
        <v>245</v>
      </c>
      <c r="C50" s="167">
        <v>151</v>
      </c>
      <c r="D50" s="169">
        <v>0</v>
      </c>
      <c r="E50" s="166">
        <f t="shared" si="0"/>
        <v>12</v>
      </c>
      <c r="F50" s="166">
        <f t="shared" si="1"/>
        <v>0</v>
      </c>
      <c r="G50" s="166">
        <f t="shared" si="2"/>
        <v>12.583333333333334</v>
      </c>
      <c r="H50" s="166">
        <f t="shared" si="3"/>
        <v>12.583333333333334</v>
      </c>
      <c r="I50" s="164">
        <f t="shared" si="4"/>
        <v>62565</v>
      </c>
      <c r="J50" s="164">
        <f t="shared" si="5"/>
        <v>787276.25</v>
      </c>
      <c r="K50" s="164">
        <f t="shared" si="6"/>
        <v>244055.63750000001</v>
      </c>
      <c r="L50" s="164">
        <v>0</v>
      </c>
      <c r="M50" s="164">
        <f t="shared" si="7"/>
        <v>1031331.8875</v>
      </c>
      <c r="N50" s="149">
        <v>0</v>
      </c>
      <c r="O50" s="149">
        <f t="shared" si="8"/>
        <v>1031331.8875</v>
      </c>
    </row>
    <row r="51" spans="1:15" ht="13.5" customHeight="1" x14ac:dyDescent="0.35">
      <c r="A51" s="170">
        <v>46002</v>
      </c>
      <c r="B51" s="170" t="s">
        <v>246</v>
      </c>
      <c r="C51" s="167">
        <v>173</v>
      </c>
      <c r="D51" s="169">
        <v>0</v>
      </c>
      <c r="E51" s="166">
        <f t="shared" si="0"/>
        <v>12</v>
      </c>
      <c r="F51" s="166">
        <f t="shared" si="1"/>
        <v>0</v>
      </c>
      <c r="G51" s="166">
        <f t="shared" si="2"/>
        <v>14.416666666666666</v>
      </c>
      <c r="H51" s="166">
        <f t="shared" si="3"/>
        <v>14.416666666666666</v>
      </c>
      <c r="I51" s="164">
        <f t="shared" si="4"/>
        <v>62565</v>
      </c>
      <c r="J51" s="164">
        <f t="shared" si="5"/>
        <v>901978.75</v>
      </c>
      <c r="K51" s="164">
        <f t="shared" si="6"/>
        <v>279613.41249999998</v>
      </c>
      <c r="L51" s="164">
        <v>0</v>
      </c>
      <c r="M51" s="164">
        <f t="shared" si="7"/>
        <v>1181592.1625000001</v>
      </c>
      <c r="N51" s="149">
        <v>0</v>
      </c>
      <c r="O51" s="149">
        <f t="shared" si="8"/>
        <v>1181592.1625000001</v>
      </c>
    </row>
    <row r="52" spans="1:15" ht="13.5" customHeight="1" x14ac:dyDescent="0.35">
      <c r="A52" s="170">
        <v>24004</v>
      </c>
      <c r="B52" s="170" t="s">
        <v>374</v>
      </c>
      <c r="C52" s="167">
        <v>308</v>
      </c>
      <c r="D52" s="169">
        <v>2.75</v>
      </c>
      <c r="E52" s="166">
        <f t="shared" si="0"/>
        <v>12.81</v>
      </c>
      <c r="F52" s="166">
        <f t="shared" si="1"/>
        <v>0.21467603434816548</v>
      </c>
      <c r="G52" s="166">
        <f t="shared" si="2"/>
        <v>24.043715846994534</v>
      </c>
      <c r="H52" s="166">
        <f t="shared" si="3"/>
        <v>24.2583918813427</v>
      </c>
      <c r="I52" s="164">
        <f t="shared" si="4"/>
        <v>62565</v>
      </c>
      <c r="J52" s="164">
        <f t="shared" si="5"/>
        <v>1517726.288056206</v>
      </c>
      <c r="K52" s="164">
        <f t="shared" si="6"/>
        <v>470495.14929742384</v>
      </c>
      <c r="L52" s="164">
        <v>0</v>
      </c>
      <c r="M52" s="164">
        <f t="shared" si="7"/>
        <v>1988221.4373536299</v>
      </c>
      <c r="N52" s="149">
        <v>0</v>
      </c>
      <c r="O52" s="149">
        <f t="shared" si="8"/>
        <v>1988221.4373536299</v>
      </c>
    </row>
    <row r="53" spans="1:15" ht="13.5" customHeight="1" x14ac:dyDescent="0.35">
      <c r="A53" s="170">
        <v>50003</v>
      </c>
      <c r="B53" s="170" t="s">
        <v>248</v>
      </c>
      <c r="C53" s="167">
        <v>683.7</v>
      </c>
      <c r="D53" s="169">
        <v>4.75</v>
      </c>
      <c r="E53" s="166">
        <f t="shared" si="0"/>
        <v>15</v>
      </c>
      <c r="F53" s="166">
        <f t="shared" si="1"/>
        <v>0.31666666666666665</v>
      </c>
      <c r="G53" s="166">
        <f t="shared" si="2"/>
        <v>45.580000000000005</v>
      </c>
      <c r="H53" s="166">
        <f t="shared" si="3"/>
        <v>45.896666666666675</v>
      </c>
      <c r="I53" s="164">
        <f t="shared" si="4"/>
        <v>62565</v>
      </c>
      <c r="J53" s="164">
        <f t="shared" si="5"/>
        <v>2871524.9500000007</v>
      </c>
      <c r="K53" s="164">
        <f t="shared" si="6"/>
        <v>890172.73450000025</v>
      </c>
      <c r="L53" s="164">
        <v>0</v>
      </c>
      <c r="M53" s="164">
        <f t="shared" si="7"/>
        <v>3761697.6845000009</v>
      </c>
      <c r="N53" s="149">
        <v>0</v>
      </c>
      <c r="O53" s="149">
        <f t="shared" si="8"/>
        <v>3761697.6845000009</v>
      </c>
    </row>
    <row r="54" spans="1:15" ht="13.5" customHeight="1" x14ac:dyDescent="0.35">
      <c r="A54" s="170">
        <v>14001</v>
      </c>
      <c r="B54" s="170" t="s">
        <v>249</v>
      </c>
      <c r="C54" s="167">
        <v>247</v>
      </c>
      <c r="D54" s="169">
        <v>0</v>
      </c>
      <c r="E54" s="166">
        <f t="shared" si="0"/>
        <v>12.352499999999999</v>
      </c>
      <c r="F54" s="166">
        <f t="shared" si="1"/>
        <v>0</v>
      </c>
      <c r="G54" s="166">
        <f t="shared" si="2"/>
        <v>19.995952236389396</v>
      </c>
      <c r="H54" s="166">
        <f t="shared" si="3"/>
        <v>19.995952236389396</v>
      </c>
      <c r="I54" s="164">
        <f t="shared" si="4"/>
        <v>62565</v>
      </c>
      <c r="J54" s="164">
        <f t="shared" si="5"/>
        <v>1251046.7516697026</v>
      </c>
      <c r="K54" s="164">
        <f t="shared" si="6"/>
        <v>387824.49301760778</v>
      </c>
      <c r="L54" s="164">
        <v>0</v>
      </c>
      <c r="M54" s="164">
        <f t="shared" si="7"/>
        <v>1638871.2446873104</v>
      </c>
      <c r="N54" s="149">
        <v>0</v>
      </c>
      <c r="O54" s="149">
        <f t="shared" si="8"/>
        <v>1638871.2446873104</v>
      </c>
    </row>
    <row r="55" spans="1:15" ht="13.5" customHeight="1" x14ac:dyDescent="0.35">
      <c r="A55" s="170">
        <v>6002</v>
      </c>
      <c r="B55" s="170" t="s">
        <v>250</v>
      </c>
      <c r="C55" s="167">
        <v>165.3</v>
      </c>
      <c r="D55" s="169">
        <v>0</v>
      </c>
      <c r="E55" s="166">
        <f t="shared" si="0"/>
        <v>12</v>
      </c>
      <c r="F55" s="166">
        <f t="shared" si="1"/>
        <v>0</v>
      </c>
      <c r="G55" s="166">
        <f t="shared" si="2"/>
        <v>13.775</v>
      </c>
      <c r="H55" s="166">
        <f t="shared" si="3"/>
        <v>13.775</v>
      </c>
      <c r="I55" s="164">
        <f t="shared" si="4"/>
        <v>62565</v>
      </c>
      <c r="J55" s="164">
        <f t="shared" si="5"/>
        <v>861832.875</v>
      </c>
      <c r="K55" s="164">
        <f t="shared" si="6"/>
        <v>267168.19124999997</v>
      </c>
      <c r="L55" s="164">
        <v>0</v>
      </c>
      <c r="M55" s="164">
        <f t="shared" si="7"/>
        <v>1129001.0662499999</v>
      </c>
      <c r="N55" s="149">
        <v>0</v>
      </c>
      <c r="O55" s="149">
        <f t="shared" si="8"/>
        <v>1129001.0662499999</v>
      </c>
    </row>
    <row r="56" spans="1:15" ht="13.5" customHeight="1" x14ac:dyDescent="0.35">
      <c r="A56" s="170">
        <v>33001</v>
      </c>
      <c r="B56" s="170" t="s">
        <v>251</v>
      </c>
      <c r="C56" s="167">
        <v>303.02</v>
      </c>
      <c r="D56" s="169">
        <v>6.5</v>
      </c>
      <c r="E56" s="166">
        <f t="shared" si="0"/>
        <v>12.772649999999999</v>
      </c>
      <c r="F56" s="166">
        <f t="shared" si="1"/>
        <v>0.50889987590672259</v>
      </c>
      <c r="G56" s="166">
        <f t="shared" si="2"/>
        <v>23.724129291885397</v>
      </c>
      <c r="H56" s="166">
        <f t="shared" si="3"/>
        <v>24.233029167792118</v>
      </c>
      <c r="I56" s="164">
        <f t="shared" si="4"/>
        <v>62565</v>
      </c>
      <c r="J56" s="164">
        <f t="shared" si="5"/>
        <v>1516139.4698829139</v>
      </c>
      <c r="K56" s="164">
        <f t="shared" si="6"/>
        <v>470003.23566370329</v>
      </c>
      <c r="L56" s="164">
        <v>0</v>
      </c>
      <c r="M56" s="164">
        <f t="shared" si="7"/>
        <v>1986142.705546617</v>
      </c>
      <c r="N56" s="149">
        <v>0</v>
      </c>
      <c r="O56" s="149">
        <f t="shared" si="8"/>
        <v>1986142.705546617</v>
      </c>
    </row>
    <row r="57" spans="1:15" ht="13.5" customHeight="1" x14ac:dyDescent="0.35">
      <c r="A57" s="170">
        <v>49004</v>
      </c>
      <c r="B57" s="170" t="s">
        <v>252</v>
      </c>
      <c r="C57" s="167">
        <v>463</v>
      </c>
      <c r="D57" s="169">
        <v>0</v>
      </c>
      <c r="E57" s="166">
        <f t="shared" si="0"/>
        <v>13.9725</v>
      </c>
      <c r="F57" s="166">
        <f t="shared" si="1"/>
        <v>0</v>
      </c>
      <c r="G57" s="166">
        <f t="shared" si="2"/>
        <v>33.13651816067275</v>
      </c>
      <c r="H57" s="166">
        <f t="shared" si="3"/>
        <v>33.13651816067275</v>
      </c>
      <c r="I57" s="164">
        <f t="shared" si="4"/>
        <v>62565</v>
      </c>
      <c r="J57" s="164">
        <f t="shared" si="5"/>
        <v>2073186.2587224906</v>
      </c>
      <c r="K57" s="164">
        <f t="shared" si="6"/>
        <v>642687.74020397209</v>
      </c>
      <c r="L57" s="164">
        <v>0</v>
      </c>
      <c r="M57" s="164">
        <f t="shared" si="7"/>
        <v>2715873.9989264626</v>
      </c>
      <c r="N57" s="149">
        <v>0</v>
      </c>
      <c r="O57" s="149">
        <f t="shared" si="8"/>
        <v>2715873.9989264626</v>
      </c>
    </row>
    <row r="58" spans="1:15" ht="13.5" customHeight="1" x14ac:dyDescent="0.35">
      <c r="A58" s="170">
        <v>63001</v>
      </c>
      <c r="B58" s="170" t="s">
        <v>253</v>
      </c>
      <c r="C58" s="167">
        <v>304</v>
      </c>
      <c r="D58" s="169">
        <v>0</v>
      </c>
      <c r="E58" s="166">
        <f t="shared" si="0"/>
        <v>12.78</v>
      </c>
      <c r="F58" s="166">
        <f t="shared" si="1"/>
        <v>0</v>
      </c>
      <c r="G58" s="166">
        <f t="shared" si="2"/>
        <v>23.787167449139282</v>
      </c>
      <c r="H58" s="166">
        <f t="shared" si="3"/>
        <v>23.787167449139282</v>
      </c>
      <c r="I58" s="164">
        <f t="shared" si="4"/>
        <v>62565</v>
      </c>
      <c r="J58" s="164">
        <f t="shared" si="5"/>
        <v>1488244.1314553991</v>
      </c>
      <c r="K58" s="164">
        <f t="shared" si="6"/>
        <v>461355.6807511737</v>
      </c>
      <c r="L58" s="164">
        <v>0</v>
      </c>
      <c r="M58" s="164">
        <f t="shared" si="7"/>
        <v>1949599.8122065729</v>
      </c>
      <c r="N58" s="149">
        <v>0</v>
      </c>
      <c r="O58" s="149">
        <f t="shared" si="8"/>
        <v>1949599.8122065729</v>
      </c>
    </row>
    <row r="59" spans="1:15" ht="13.5" customHeight="1" x14ac:dyDescent="0.35">
      <c r="A59" s="170">
        <v>53001</v>
      </c>
      <c r="B59" s="170" t="s">
        <v>254</v>
      </c>
      <c r="C59" s="167">
        <v>241.04</v>
      </c>
      <c r="D59" s="169">
        <v>0</v>
      </c>
      <c r="E59" s="166">
        <f t="shared" si="0"/>
        <v>12.3078</v>
      </c>
      <c r="F59" s="166">
        <f t="shared" si="1"/>
        <v>0</v>
      </c>
      <c r="G59" s="166">
        <f t="shared" si="2"/>
        <v>19.584328637124425</v>
      </c>
      <c r="H59" s="166">
        <f t="shared" si="3"/>
        <v>19.584328637124425</v>
      </c>
      <c r="I59" s="164">
        <f t="shared" si="4"/>
        <v>62565</v>
      </c>
      <c r="J59" s="164">
        <f t="shared" si="5"/>
        <v>1225293.5211816896</v>
      </c>
      <c r="K59" s="164">
        <f t="shared" si="6"/>
        <v>379840.99156632379</v>
      </c>
      <c r="L59" s="164">
        <v>0</v>
      </c>
      <c r="M59" s="164">
        <f t="shared" si="7"/>
        <v>1605134.5127480133</v>
      </c>
      <c r="N59" s="149">
        <v>0</v>
      </c>
      <c r="O59" s="149">
        <f t="shared" si="8"/>
        <v>1605134.5127480133</v>
      </c>
    </row>
    <row r="60" spans="1:15" ht="13.5" customHeight="1" x14ac:dyDescent="0.35">
      <c r="A60" s="170">
        <v>25003</v>
      </c>
      <c r="B60" s="170" t="s">
        <v>348</v>
      </c>
      <c r="C60" s="167">
        <v>61</v>
      </c>
      <c r="D60" s="169">
        <v>0</v>
      </c>
      <c r="E60" s="166">
        <f t="shared" si="0"/>
        <v>12</v>
      </c>
      <c r="F60" s="166">
        <f t="shared" si="1"/>
        <v>0</v>
      </c>
      <c r="G60" s="166">
        <f t="shared" si="2"/>
        <v>5.083333333333333</v>
      </c>
      <c r="H60" s="166">
        <f t="shared" si="3"/>
        <v>5.083333333333333</v>
      </c>
      <c r="I60" s="164">
        <f t="shared" si="4"/>
        <v>62565</v>
      </c>
      <c r="J60" s="164">
        <f t="shared" si="5"/>
        <v>318038.75</v>
      </c>
      <c r="K60" s="164">
        <f t="shared" si="6"/>
        <v>98592.012499999997</v>
      </c>
      <c r="L60" s="164">
        <v>0</v>
      </c>
      <c r="M60" s="164">
        <f t="shared" si="7"/>
        <v>416630.76250000001</v>
      </c>
      <c r="N60" s="149">
        <v>0</v>
      </c>
      <c r="O60" s="149">
        <f t="shared" si="8"/>
        <v>416630.76250000001</v>
      </c>
    </row>
    <row r="61" spans="1:15" ht="13.5" customHeight="1" x14ac:dyDescent="0.35">
      <c r="A61" s="170">
        <v>26004</v>
      </c>
      <c r="B61" s="170" t="s">
        <v>255</v>
      </c>
      <c r="C61" s="167">
        <v>361</v>
      </c>
      <c r="D61" s="169">
        <v>0</v>
      </c>
      <c r="E61" s="166">
        <f t="shared" si="0"/>
        <v>13.2075</v>
      </c>
      <c r="F61" s="166">
        <f t="shared" si="1"/>
        <v>0</v>
      </c>
      <c r="G61" s="166">
        <f t="shared" si="2"/>
        <v>27.332954760552717</v>
      </c>
      <c r="H61" s="166">
        <f t="shared" si="3"/>
        <v>27.332954760552717</v>
      </c>
      <c r="I61" s="164">
        <f t="shared" si="4"/>
        <v>62565</v>
      </c>
      <c r="J61" s="164">
        <f t="shared" si="5"/>
        <v>1710086.3145939808</v>
      </c>
      <c r="K61" s="164">
        <f t="shared" si="6"/>
        <v>530126.75752413401</v>
      </c>
      <c r="L61" s="164">
        <v>0</v>
      </c>
      <c r="M61" s="164">
        <f t="shared" si="7"/>
        <v>2240213.0721181147</v>
      </c>
      <c r="N61" s="149">
        <v>0</v>
      </c>
      <c r="O61" s="149">
        <f t="shared" si="8"/>
        <v>2240213.0721181147</v>
      </c>
    </row>
    <row r="62" spans="1:15" ht="13.5" customHeight="1" x14ac:dyDescent="0.35">
      <c r="A62" s="171">
        <v>6006</v>
      </c>
      <c r="B62" s="170" t="s">
        <v>256</v>
      </c>
      <c r="C62" s="167">
        <v>589</v>
      </c>
      <c r="D62" s="169">
        <v>1.5</v>
      </c>
      <c r="E62" s="166">
        <f t="shared" si="0"/>
        <v>14.9175</v>
      </c>
      <c r="F62" s="166">
        <f t="shared" si="1"/>
        <v>0.10055304172951232</v>
      </c>
      <c r="G62" s="166">
        <f t="shared" si="2"/>
        <v>39.483827719121834</v>
      </c>
      <c r="H62" s="166">
        <f t="shared" si="3"/>
        <v>39.584380760851346</v>
      </c>
      <c r="I62" s="164">
        <f t="shared" si="4"/>
        <v>62565</v>
      </c>
      <c r="J62" s="164">
        <f t="shared" si="5"/>
        <v>2476596.7823026646</v>
      </c>
      <c r="K62" s="164">
        <f t="shared" si="6"/>
        <v>767745.00251382601</v>
      </c>
      <c r="L62" s="164">
        <v>0</v>
      </c>
      <c r="M62" s="164">
        <f t="shared" si="7"/>
        <v>3244341.7848164905</v>
      </c>
      <c r="N62" s="149">
        <v>0</v>
      </c>
      <c r="O62" s="149">
        <f t="shared" si="8"/>
        <v>3244341.7848164905</v>
      </c>
    </row>
    <row r="63" spans="1:15" ht="13.5" customHeight="1" x14ac:dyDescent="0.35">
      <c r="A63" s="170">
        <v>27001</v>
      </c>
      <c r="B63" s="170" t="s">
        <v>257</v>
      </c>
      <c r="C63" s="167">
        <v>310</v>
      </c>
      <c r="D63" s="169">
        <v>0</v>
      </c>
      <c r="E63" s="166">
        <f t="shared" si="0"/>
        <v>12.824999999999999</v>
      </c>
      <c r="F63" s="166">
        <f t="shared" si="1"/>
        <v>0</v>
      </c>
      <c r="G63" s="166">
        <f t="shared" si="2"/>
        <v>24.171539961013647</v>
      </c>
      <c r="H63" s="166">
        <f t="shared" si="3"/>
        <v>24.171539961013647</v>
      </c>
      <c r="I63" s="164">
        <f t="shared" si="4"/>
        <v>62565</v>
      </c>
      <c r="J63" s="164">
        <f t="shared" si="5"/>
        <v>1512292.3976608189</v>
      </c>
      <c r="K63" s="164">
        <f t="shared" si="6"/>
        <v>468810.64327485388</v>
      </c>
      <c r="L63" s="164">
        <v>0</v>
      </c>
      <c r="M63" s="164">
        <f t="shared" si="7"/>
        <v>1981103.0409356728</v>
      </c>
      <c r="N63" s="149">
        <v>0</v>
      </c>
      <c r="O63" s="149">
        <f t="shared" si="8"/>
        <v>1981103.0409356728</v>
      </c>
    </row>
    <row r="64" spans="1:15" ht="13.5" customHeight="1" x14ac:dyDescent="0.35">
      <c r="A64" s="170">
        <v>28003</v>
      </c>
      <c r="B64" s="170" t="s">
        <v>258</v>
      </c>
      <c r="C64" s="167">
        <v>749</v>
      </c>
      <c r="D64" s="169">
        <v>1</v>
      </c>
      <c r="E64" s="166">
        <f t="shared" si="0"/>
        <v>15</v>
      </c>
      <c r="F64" s="166">
        <f t="shared" si="1"/>
        <v>6.6666666666666666E-2</v>
      </c>
      <c r="G64" s="166">
        <f t="shared" si="2"/>
        <v>49.93333333333333</v>
      </c>
      <c r="H64" s="166">
        <f t="shared" si="3"/>
        <v>50</v>
      </c>
      <c r="I64" s="164">
        <f t="shared" si="4"/>
        <v>62565</v>
      </c>
      <c r="J64" s="164">
        <f t="shared" si="5"/>
        <v>3128250</v>
      </c>
      <c r="K64" s="164">
        <f t="shared" si="6"/>
        <v>969757.5</v>
      </c>
      <c r="L64" s="164">
        <v>0</v>
      </c>
      <c r="M64" s="164">
        <f t="shared" si="7"/>
        <v>4098007.5</v>
      </c>
      <c r="N64" s="149">
        <v>0</v>
      </c>
      <c r="O64" s="149">
        <f t="shared" si="8"/>
        <v>4098007.5</v>
      </c>
    </row>
    <row r="65" spans="1:15" ht="13.5" customHeight="1" x14ac:dyDescent="0.35">
      <c r="A65" s="170">
        <v>30001</v>
      </c>
      <c r="B65" s="170" t="s">
        <v>259</v>
      </c>
      <c r="C65" s="167">
        <v>419</v>
      </c>
      <c r="D65" s="169">
        <v>1.75</v>
      </c>
      <c r="E65" s="166">
        <f t="shared" si="0"/>
        <v>13.6425</v>
      </c>
      <c r="F65" s="166">
        <f t="shared" si="1"/>
        <v>0.12827560930914422</v>
      </c>
      <c r="G65" s="166">
        <f t="shared" si="2"/>
        <v>30.712845886017959</v>
      </c>
      <c r="H65" s="166">
        <f t="shared" si="3"/>
        <v>30.841121495327105</v>
      </c>
      <c r="I65" s="164">
        <f t="shared" si="4"/>
        <v>62565</v>
      </c>
      <c r="J65" s="164">
        <f t="shared" si="5"/>
        <v>1929574.7663551404</v>
      </c>
      <c r="K65" s="164">
        <f t="shared" si="6"/>
        <v>598168.17757009354</v>
      </c>
      <c r="L65" s="164">
        <v>0</v>
      </c>
      <c r="M65" s="164">
        <f t="shared" si="7"/>
        <v>2527742.943925234</v>
      </c>
      <c r="N65" s="149">
        <v>0</v>
      </c>
      <c r="O65" s="149">
        <f t="shared" si="8"/>
        <v>2527742.943925234</v>
      </c>
    </row>
    <row r="66" spans="1:15" ht="13.5" customHeight="1" x14ac:dyDescent="0.35">
      <c r="A66" s="170">
        <v>31001</v>
      </c>
      <c r="B66" s="170" t="s">
        <v>260</v>
      </c>
      <c r="C66" s="167">
        <v>202.25</v>
      </c>
      <c r="D66" s="319"/>
      <c r="E66" s="320"/>
      <c r="F66" s="320"/>
      <c r="G66" s="320"/>
      <c r="H66" s="320"/>
      <c r="I66" s="321"/>
      <c r="J66" s="321"/>
      <c r="K66" s="321"/>
      <c r="L66" s="321"/>
      <c r="M66" s="321"/>
      <c r="N66" s="149">
        <v>1808895.0967310166</v>
      </c>
      <c r="O66" s="149">
        <f t="shared" si="8"/>
        <v>1808895.0967310166</v>
      </c>
    </row>
    <row r="67" spans="1:15" ht="13.5" customHeight="1" x14ac:dyDescent="0.35">
      <c r="A67" s="170">
        <v>41002</v>
      </c>
      <c r="B67" s="170" t="s">
        <v>261</v>
      </c>
      <c r="C67" s="167">
        <v>4144.5200000000004</v>
      </c>
      <c r="D67" s="169">
        <v>5.25</v>
      </c>
      <c r="E67" s="166">
        <f t="shared" ref="E67:E73" si="9">IF(C67&lt;200,12,IF(C67&gt;600,15,(C67*0.0075)+10.5))</f>
        <v>15</v>
      </c>
      <c r="F67" s="166">
        <f t="shared" ref="F67:F73" si="10">D67/E67</f>
        <v>0.35</v>
      </c>
      <c r="G67" s="166">
        <f t="shared" ref="G67:G73" si="11">C67/E67</f>
        <v>276.30133333333339</v>
      </c>
      <c r="H67" s="166">
        <f t="shared" ref="H67:H73" si="12">G67+F67</f>
        <v>276.65133333333341</v>
      </c>
      <c r="I67" s="164">
        <f t="shared" ref="I67:I73" si="13">$I$1*1.29</f>
        <v>62565</v>
      </c>
      <c r="J67" s="164">
        <f t="shared" ref="J67:J73" si="14">H67*I67</f>
        <v>17308690.670000006</v>
      </c>
      <c r="K67" s="164">
        <f t="shared" ref="K67:K73" si="15">J67*0.31</f>
        <v>5365694.1077000014</v>
      </c>
      <c r="L67" s="164">
        <v>0</v>
      </c>
      <c r="M67" s="164">
        <f t="shared" ref="M67:M73" si="16">J67+K67+L67</f>
        <v>22674384.777700007</v>
      </c>
      <c r="N67" s="149">
        <v>0</v>
      </c>
      <c r="O67" s="149">
        <f t="shared" ref="O67:O130" si="17">IF(N67&gt;0,N67,M67)</f>
        <v>22674384.777700007</v>
      </c>
    </row>
    <row r="68" spans="1:15" ht="13.5" customHeight="1" x14ac:dyDescent="0.35">
      <c r="A68" s="170">
        <v>14002</v>
      </c>
      <c r="B68" s="170" t="s">
        <v>262</v>
      </c>
      <c r="C68" s="167">
        <v>170</v>
      </c>
      <c r="D68" s="169">
        <v>0</v>
      </c>
      <c r="E68" s="166">
        <f t="shared" si="9"/>
        <v>12</v>
      </c>
      <c r="F68" s="166">
        <f t="shared" si="10"/>
        <v>0</v>
      </c>
      <c r="G68" s="166">
        <f t="shared" si="11"/>
        <v>14.166666666666666</v>
      </c>
      <c r="H68" s="166">
        <f t="shared" si="12"/>
        <v>14.166666666666666</v>
      </c>
      <c r="I68" s="164">
        <f t="shared" si="13"/>
        <v>62565</v>
      </c>
      <c r="J68" s="164">
        <f t="shared" si="14"/>
        <v>886337.5</v>
      </c>
      <c r="K68" s="164">
        <f t="shared" si="15"/>
        <v>274764.625</v>
      </c>
      <c r="L68" s="164">
        <v>0</v>
      </c>
      <c r="M68" s="164">
        <f t="shared" si="16"/>
        <v>1161102.125</v>
      </c>
      <c r="N68" s="149">
        <v>0</v>
      </c>
      <c r="O68" s="149">
        <f t="shared" si="17"/>
        <v>1161102.125</v>
      </c>
    </row>
    <row r="69" spans="1:15" ht="13.5" customHeight="1" x14ac:dyDescent="0.35">
      <c r="A69" s="170">
        <v>10001</v>
      </c>
      <c r="B69" s="170" t="s">
        <v>263</v>
      </c>
      <c r="C69" s="167">
        <v>117</v>
      </c>
      <c r="D69" s="169">
        <v>0</v>
      </c>
      <c r="E69" s="166">
        <f t="shared" si="9"/>
        <v>12</v>
      </c>
      <c r="F69" s="166">
        <f t="shared" si="10"/>
        <v>0</v>
      </c>
      <c r="G69" s="166">
        <f t="shared" si="11"/>
        <v>9.75</v>
      </c>
      <c r="H69" s="166">
        <f t="shared" si="12"/>
        <v>9.75</v>
      </c>
      <c r="I69" s="164">
        <f t="shared" si="13"/>
        <v>62565</v>
      </c>
      <c r="J69" s="164">
        <f t="shared" si="14"/>
        <v>610008.75</v>
      </c>
      <c r="K69" s="164">
        <f t="shared" si="15"/>
        <v>189102.71249999999</v>
      </c>
      <c r="L69" s="164">
        <v>0</v>
      </c>
      <c r="M69" s="164">
        <f t="shared" si="16"/>
        <v>799111.46250000002</v>
      </c>
      <c r="N69" s="149">
        <v>0</v>
      </c>
      <c r="O69" s="149">
        <f t="shared" si="17"/>
        <v>799111.46250000002</v>
      </c>
    </row>
    <row r="70" spans="1:15" ht="13.5" customHeight="1" x14ac:dyDescent="0.35">
      <c r="A70" s="170">
        <v>34002</v>
      </c>
      <c r="B70" s="170" t="s">
        <v>264</v>
      </c>
      <c r="C70" s="167">
        <v>250</v>
      </c>
      <c r="D70" s="169">
        <v>0</v>
      </c>
      <c r="E70" s="166">
        <f t="shared" si="9"/>
        <v>12.375</v>
      </c>
      <c r="F70" s="166">
        <f t="shared" si="10"/>
        <v>0</v>
      </c>
      <c r="G70" s="166">
        <f t="shared" si="11"/>
        <v>20.202020202020201</v>
      </c>
      <c r="H70" s="166">
        <f t="shared" si="12"/>
        <v>20.202020202020201</v>
      </c>
      <c r="I70" s="164">
        <f t="shared" si="13"/>
        <v>62565</v>
      </c>
      <c r="J70" s="164">
        <f t="shared" si="14"/>
        <v>1263939.3939393938</v>
      </c>
      <c r="K70" s="164">
        <f t="shared" si="15"/>
        <v>391821.2121212121</v>
      </c>
      <c r="L70" s="164">
        <v>0</v>
      </c>
      <c r="M70" s="164">
        <f t="shared" si="16"/>
        <v>1655760.606060606</v>
      </c>
      <c r="N70" s="149">
        <v>0</v>
      </c>
      <c r="O70" s="149">
        <f t="shared" si="17"/>
        <v>1655760.606060606</v>
      </c>
    </row>
    <row r="71" spans="1:15" ht="13.5" customHeight="1" x14ac:dyDescent="0.35">
      <c r="A71" s="170">
        <v>51002</v>
      </c>
      <c r="B71" s="170" t="s">
        <v>265</v>
      </c>
      <c r="C71" s="167">
        <v>498.15</v>
      </c>
      <c r="D71" s="169">
        <v>2.75</v>
      </c>
      <c r="E71" s="166">
        <f t="shared" si="9"/>
        <v>14.236124999999999</v>
      </c>
      <c r="F71" s="166">
        <f t="shared" si="10"/>
        <v>0.1931705432482505</v>
      </c>
      <c r="G71" s="166">
        <f t="shared" si="11"/>
        <v>34.991965861496723</v>
      </c>
      <c r="H71" s="166">
        <f t="shared" si="12"/>
        <v>35.185136404744974</v>
      </c>
      <c r="I71" s="164">
        <f t="shared" si="13"/>
        <v>62565</v>
      </c>
      <c r="J71" s="164">
        <f t="shared" si="14"/>
        <v>2201358.0591628691</v>
      </c>
      <c r="K71" s="164">
        <f t="shared" si="15"/>
        <v>682420.99834048946</v>
      </c>
      <c r="L71" s="164">
        <v>0</v>
      </c>
      <c r="M71" s="164">
        <f t="shared" si="16"/>
        <v>2883779.0575033585</v>
      </c>
      <c r="N71" s="149">
        <v>0</v>
      </c>
      <c r="O71" s="149">
        <f t="shared" si="17"/>
        <v>2883779.0575033585</v>
      </c>
    </row>
    <row r="72" spans="1:15" ht="13.5" customHeight="1" x14ac:dyDescent="0.35">
      <c r="A72" s="170">
        <v>56006</v>
      </c>
      <c r="B72" s="170" t="s">
        <v>266</v>
      </c>
      <c r="C72" s="167">
        <v>231</v>
      </c>
      <c r="D72" s="169">
        <v>1.75</v>
      </c>
      <c r="E72" s="166">
        <f t="shared" si="9"/>
        <v>12.2325</v>
      </c>
      <c r="F72" s="166">
        <f t="shared" si="10"/>
        <v>0.14306151645207441</v>
      </c>
      <c r="G72" s="166">
        <f t="shared" si="11"/>
        <v>18.884120171673821</v>
      </c>
      <c r="H72" s="166">
        <f t="shared" si="12"/>
        <v>19.027181688125896</v>
      </c>
      <c r="I72" s="164">
        <f t="shared" si="13"/>
        <v>62565</v>
      </c>
      <c r="J72" s="164">
        <f t="shared" si="14"/>
        <v>1190435.6223175968</v>
      </c>
      <c r="K72" s="164">
        <f t="shared" si="15"/>
        <v>369035.04291845503</v>
      </c>
      <c r="L72" s="164">
        <v>0</v>
      </c>
      <c r="M72" s="164">
        <f t="shared" si="16"/>
        <v>1559470.6652360519</v>
      </c>
      <c r="N72" s="149">
        <v>0</v>
      </c>
      <c r="O72" s="149">
        <f t="shared" si="17"/>
        <v>1559470.6652360519</v>
      </c>
    </row>
    <row r="73" spans="1:15" ht="13.5" customHeight="1" x14ac:dyDescent="0.35">
      <c r="A73" s="170">
        <v>23002</v>
      </c>
      <c r="B73" s="170" t="s">
        <v>267</v>
      </c>
      <c r="C73" s="167">
        <v>806.4</v>
      </c>
      <c r="D73" s="169">
        <v>0.25</v>
      </c>
      <c r="E73" s="166">
        <f t="shared" si="9"/>
        <v>15</v>
      </c>
      <c r="F73" s="166">
        <f t="shared" si="10"/>
        <v>1.6666666666666666E-2</v>
      </c>
      <c r="G73" s="166">
        <f t="shared" si="11"/>
        <v>53.76</v>
      </c>
      <c r="H73" s="166">
        <f t="shared" si="12"/>
        <v>53.776666666666664</v>
      </c>
      <c r="I73" s="164">
        <f t="shared" si="13"/>
        <v>62565</v>
      </c>
      <c r="J73" s="164">
        <f t="shared" si="14"/>
        <v>3364537.15</v>
      </c>
      <c r="K73" s="164">
        <f t="shared" si="15"/>
        <v>1043006.5164999999</v>
      </c>
      <c r="L73" s="164">
        <v>0</v>
      </c>
      <c r="M73" s="164">
        <f t="shared" si="16"/>
        <v>4407543.6665000003</v>
      </c>
      <c r="N73" s="149">
        <v>0</v>
      </c>
      <c r="O73" s="149">
        <f t="shared" si="17"/>
        <v>4407543.6665000003</v>
      </c>
    </row>
    <row r="74" spans="1:15" ht="13.5" customHeight="1" x14ac:dyDescent="0.35">
      <c r="A74" s="170">
        <v>53002</v>
      </c>
      <c r="B74" s="170" t="s">
        <v>268</v>
      </c>
      <c r="C74" s="167">
        <v>109</v>
      </c>
      <c r="D74" s="319"/>
      <c r="E74" s="320"/>
      <c r="F74" s="320"/>
      <c r="G74" s="320"/>
      <c r="H74" s="320"/>
      <c r="I74" s="321"/>
      <c r="J74" s="321"/>
      <c r="K74" s="321"/>
      <c r="L74" s="321"/>
      <c r="M74" s="321"/>
      <c r="N74" s="149">
        <v>758174.26830357139</v>
      </c>
      <c r="O74" s="149">
        <f t="shared" si="17"/>
        <v>758174.26830357139</v>
      </c>
    </row>
    <row r="75" spans="1:15" ht="13.5" customHeight="1" x14ac:dyDescent="0.35">
      <c r="A75" s="170">
        <v>48003</v>
      </c>
      <c r="B75" s="170" t="s">
        <v>269</v>
      </c>
      <c r="C75" s="167">
        <v>365.12</v>
      </c>
      <c r="D75" s="169">
        <v>2.25</v>
      </c>
      <c r="E75" s="166">
        <f t="shared" ref="E75:E109" si="18">IF(C75&lt;200,12,IF(C75&gt;600,15,(C75*0.0075)+10.5))</f>
        <v>13.2384</v>
      </c>
      <c r="F75" s="166">
        <f t="shared" ref="F75:F138" si="19">D75/E75</f>
        <v>0.16996011602610586</v>
      </c>
      <c r="G75" s="166">
        <f t="shared" ref="G75:G138" si="20">C75/E75</f>
        <v>27.580372250423011</v>
      </c>
      <c r="H75" s="166">
        <f t="shared" ref="H75:H138" si="21">G75+F75</f>
        <v>27.750332366449118</v>
      </c>
      <c r="I75" s="164">
        <f t="shared" ref="I75:I138" si="22">$I$1*1.29</f>
        <v>62565</v>
      </c>
      <c r="J75" s="164">
        <f t="shared" ref="J75:J138" si="23">H75*I75</f>
        <v>1736199.5445068891</v>
      </c>
      <c r="K75" s="164">
        <f t="shared" ref="K75:K138" si="24">J75*0.31</f>
        <v>538221.85879713565</v>
      </c>
      <c r="L75" s="164">
        <v>0</v>
      </c>
      <c r="M75" s="164">
        <f t="shared" ref="M75:M138" si="25">J75+K75+L75</f>
        <v>2274421.4033040246</v>
      </c>
      <c r="N75" s="149">
        <v>0</v>
      </c>
      <c r="O75" s="149">
        <f t="shared" si="17"/>
        <v>2274421.4033040246</v>
      </c>
    </row>
    <row r="76" spans="1:15" ht="13.5" customHeight="1" x14ac:dyDescent="0.35">
      <c r="A76" s="170">
        <v>2002</v>
      </c>
      <c r="B76" s="170" t="s">
        <v>270</v>
      </c>
      <c r="C76" s="167">
        <v>2544.14</v>
      </c>
      <c r="D76" s="169">
        <v>123.75</v>
      </c>
      <c r="E76" s="166">
        <f t="shared" si="18"/>
        <v>15</v>
      </c>
      <c r="F76" s="166">
        <f t="shared" si="19"/>
        <v>8.25</v>
      </c>
      <c r="G76" s="166">
        <f t="shared" si="20"/>
        <v>169.60933333333332</v>
      </c>
      <c r="H76" s="166">
        <f t="shared" si="21"/>
        <v>177.85933333333332</v>
      </c>
      <c r="I76" s="164">
        <f t="shared" si="22"/>
        <v>62565</v>
      </c>
      <c r="J76" s="164">
        <f t="shared" si="23"/>
        <v>11127769.189999999</v>
      </c>
      <c r="K76" s="164">
        <f t="shared" si="24"/>
        <v>3449608.4488999997</v>
      </c>
      <c r="L76" s="164">
        <v>11015</v>
      </c>
      <c r="M76" s="164">
        <f t="shared" si="25"/>
        <v>14588392.638899999</v>
      </c>
      <c r="N76" s="149">
        <v>0</v>
      </c>
      <c r="O76" s="149">
        <f t="shared" si="17"/>
        <v>14588392.638899999</v>
      </c>
    </row>
    <row r="77" spans="1:15" ht="13.5" customHeight="1" x14ac:dyDescent="0.35">
      <c r="A77" s="170">
        <v>22006</v>
      </c>
      <c r="B77" s="170" t="s">
        <v>271</v>
      </c>
      <c r="C77" s="167">
        <v>403</v>
      </c>
      <c r="D77" s="169">
        <v>4.5</v>
      </c>
      <c r="E77" s="166">
        <f t="shared" si="18"/>
        <v>13.522500000000001</v>
      </c>
      <c r="F77" s="166">
        <f t="shared" si="19"/>
        <v>0.33277870216306155</v>
      </c>
      <c r="G77" s="166">
        <f t="shared" si="20"/>
        <v>29.802181549269733</v>
      </c>
      <c r="H77" s="166">
        <f t="shared" si="21"/>
        <v>30.134960251432794</v>
      </c>
      <c r="I77" s="164">
        <f t="shared" si="22"/>
        <v>62565</v>
      </c>
      <c r="J77" s="164">
        <f t="shared" si="23"/>
        <v>1885393.7881308927</v>
      </c>
      <c r="K77" s="164">
        <f t="shared" si="24"/>
        <v>584472.07432057674</v>
      </c>
      <c r="L77" s="164">
        <v>0</v>
      </c>
      <c r="M77" s="164">
        <f t="shared" si="25"/>
        <v>2469865.8624514695</v>
      </c>
      <c r="N77" s="149">
        <v>0</v>
      </c>
      <c r="O77" s="149">
        <f t="shared" si="17"/>
        <v>2469865.8624514695</v>
      </c>
    </row>
    <row r="78" spans="1:15" ht="13.5" customHeight="1" x14ac:dyDescent="0.35">
      <c r="A78" s="170">
        <v>13003</v>
      </c>
      <c r="B78" s="170" t="s">
        <v>272</v>
      </c>
      <c r="C78" s="167">
        <v>294.45</v>
      </c>
      <c r="D78" s="169">
        <v>0</v>
      </c>
      <c r="E78" s="166">
        <f t="shared" si="18"/>
        <v>12.708375</v>
      </c>
      <c r="F78" s="166">
        <f t="shared" si="19"/>
        <v>0</v>
      </c>
      <c r="G78" s="166">
        <f t="shared" si="20"/>
        <v>23.169760099147215</v>
      </c>
      <c r="H78" s="166">
        <f t="shared" si="21"/>
        <v>23.169760099147215</v>
      </c>
      <c r="I78" s="164">
        <f t="shared" si="22"/>
        <v>62565</v>
      </c>
      <c r="J78" s="164">
        <f t="shared" si="23"/>
        <v>1449616.0406031455</v>
      </c>
      <c r="K78" s="164">
        <f t="shared" si="24"/>
        <v>449380.97258697508</v>
      </c>
      <c r="L78" s="164">
        <v>0</v>
      </c>
      <c r="M78" s="164">
        <f t="shared" si="25"/>
        <v>1898997.0131901205</v>
      </c>
      <c r="N78" s="149">
        <v>0</v>
      </c>
      <c r="O78" s="149">
        <f t="shared" si="17"/>
        <v>1898997.0131901205</v>
      </c>
    </row>
    <row r="79" spans="1:15" ht="13.5" customHeight="1" x14ac:dyDescent="0.35">
      <c r="A79" s="170">
        <v>2003</v>
      </c>
      <c r="B79" s="170" t="s">
        <v>273</v>
      </c>
      <c r="C79" s="167">
        <v>238.02</v>
      </c>
      <c r="D79" s="169">
        <v>0.75</v>
      </c>
      <c r="E79" s="166">
        <f t="shared" si="18"/>
        <v>12.28515</v>
      </c>
      <c r="F79" s="166">
        <f t="shared" si="19"/>
        <v>6.1049315637171711E-2</v>
      </c>
      <c r="G79" s="166">
        <f t="shared" si="20"/>
        <v>19.374610810612815</v>
      </c>
      <c r="H79" s="166">
        <f t="shared" si="21"/>
        <v>19.435660126249985</v>
      </c>
      <c r="I79" s="164">
        <f t="shared" si="22"/>
        <v>62565</v>
      </c>
      <c r="J79" s="164">
        <f t="shared" si="23"/>
        <v>1215992.0757988303</v>
      </c>
      <c r="K79" s="164">
        <f t="shared" si="24"/>
        <v>376957.54349763738</v>
      </c>
      <c r="L79" s="164">
        <v>0</v>
      </c>
      <c r="M79" s="164">
        <f t="shared" si="25"/>
        <v>1592949.6192964676</v>
      </c>
      <c r="N79" s="149">
        <v>0</v>
      </c>
      <c r="O79" s="149">
        <f t="shared" si="17"/>
        <v>1592949.6192964676</v>
      </c>
    </row>
    <row r="80" spans="1:15" ht="13.5" customHeight="1" x14ac:dyDescent="0.35">
      <c r="A80" s="170">
        <v>37003</v>
      </c>
      <c r="B80" s="170" t="s">
        <v>274</v>
      </c>
      <c r="C80" s="167">
        <v>189</v>
      </c>
      <c r="D80" s="169">
        <v>0</v>
      </c>
      <c r="E80" s="166">
        <f t="shared" si="18"/>
        <v>12</v>
      </c>
      <c r="F80" s="166">
        <f t="shared" si="19"/>
        <v>0</v>
      </c>
      <c r="G80" s="166">
        <f t="shared" si="20"/>
        <v>15.75</v>
      </c>
      <c r="H80" s="166">
        <f t="shared" si="21"/>
        <v>15.75</v>
      </c>
      <c r="I80" s="164">
        <f t="shared" si="22"/>
        <v>62565</v>
      </c>
      <c r="J80" s="164">
        <f t="shared" si="23"/>
        <v>985398.75</v>
      </c>
      <c r="K80" s="164">
        <f t="shared" si="24"/>
        <v>305473.61249999999</v>
      </c>
      <c r="L80" s="164">
        <v>0</v>
      </c>
      <c r="M80" s="164">
        <f t="shared" si="25"/>
        <v>1290872.3625</v>
      </c>
      <c r="N80" s="149">
        <v>0</v>
      </c>
      <c r="O80" s="149">
        <f t="shared" si="17"/>
        <v>1290872.3625</v>
      </c>
    </row>
    <row r="81" spans="1:15" ht="13.5" customHeight="1" x14ac:dyDescent="0.35">
      <c r="A81" s="170">
        <v>35002</v>
      </c>
      <c r="B81" s="170" t="s">
        <v>275</v>
      </c>
      <c r="C81" s="167">
        <v>348</v>
      </c>
      <c r="D81" s="169">
        <v>0</v>
      </c>
      <c r="E81" s="166">
        <f t="shared" si="18"/>
        <v>13.11</v>
      </c>
      <c r="F81" s="166">
        <f t="shared" si="19"/>
        <v>0</v>
      </c>
      <c r="G81" s="166">
        <f t="shared" si="20"/>
        <v>26.544622425629292</v>
      </c>
      <c r="H81" s="166">
        <f t="shared" si="21"/>
        <v>26.544622425629292</v>
      </c>
      <c r="I81" s="164">
        <f t="shared" si="22"/>
        <v>62565</v>
      </c>
      <c r="J81" s="164">
        <f t="shared" si="23"/>
        <v>1660764.3020594968</v>
      </c>
      <c r="K81" s="164">
        <f t="shared" si="24"/>
        <v>514836.933638444</v>
      </c>
      <c r="L81" s="164">
        <v>0</v>
      </c>
      <c r="M81" s="164">
        <f t="shared" si="25"/>
        <v>2175601.2356979409</v>
      </c>
      <c r="N81" s="149">
        <v>0</v>
      </c>
      <c r="O81" s="149">
        <f t="shared" si="17"/>
        <v>2175601.2356979409</v>
      </c>
    </row>
    <row r="82" spans="1:15" ht="13.5" customHeight="1" x14ac:dyDescent="0.35">
      <c r="A82" s="170">
        <v>7002</v>
      </c>
      <c r="B82" s="170" t="s">
        <v>276</v>
      </c>
      <c r="C82" s="167">
        <v>296</v>
      </c>
      <c r="D82" s="169">
        <v>0.75</v>
      </c>
      <c r="E82" s="166">
        <f t="shared" si="18"/>
        <v>12.719999999999999</v>
      </c>
      <c r="F82" s="166">
        <f t="shared" si="19"/>
        <v>5.8962264150943404E-2</v>
      </c>
      <c r="G82" s="166">
        <f t="shared" si="20"/>
        <v>23.270440251572328</v>
      </c>
      <c r="H82" s="166">
        <f t="shared" si="21"/>
        <v>23.32940251572327</v>
      </c>
      <c r="I82" s="164">
        <f t="shared" si="22"/>
        <v>62565</v>
      </c>
      <c r="J82" s="164">
        <f t="shared" si="23"/>
        <v>1459604.0683962265</v>
      </c>
      <c r="K82" s="164">
        <f t="shared" si="24"/>
        <v>452477.26120283024</v>
      </c>
      <c r="L82" s="164">
        <v>0</v>
      </c>
      <c r="M82" s="164">
        <f t="shared" si="25"/>
        <v>1912081.3295990569</v>
      </c>
      <c r="N82" s="149">
        <v>0</v>
      </c>
      <c r="O82" s="149">
        <f t="shared" si="17"/>
        <v>1912081.3295990569</v>
      </c>
    </row>
    <row r="83" spans="1:15" ht="13.5" customHeight="1" x14ac:dyDescent="0.35">
      <c r="A83" s="170">
        <v>38003</v>
      </c>
      <c r="B83" s="170" t="s">
        <v>277</v>
      </c>
      <c r="C83" s="167">
        <v>148</v>
      </c>
      <c r="D83" s="169">
        <v>0</v>
      </c>
      <c r="E83" s="166">
        <f t="shared" si="18"/>
        <v>12</v>
      </c>
      <c r="F83" s="166">
        <f t="shared" si="19"/>
        <v>0</v>
      </c>
      <c r="G83" s="166">
        <f t="shared" si="20"/>
        <v>12.333333333333334</v>
      </c>
      <c r="H83" s="166">
        <f t="shared" si="21"/>
        <v>12.333333333333334</v>
      </c>
      <c r="I83" s="164">
        <f t="shared" si="22"/>
        <v>62565</v>
      </c>
      <c r="J83" s="164">
        <f t="shared" si="23"/>
        <v>771635</v>
      </c>
      <c r="K83" s="164">
        <f t="shared" si="24"/>
        <v>239206.85</v>
      </c>
      <c r="L83" s="164">
        <v>0</v>
      </c>
      <c r="M83" s="164">
        <f t="shared" si="25"/>
        <v>1010841.85</v>
      </c>
      <c r="N83" s="149">
        <v>0</v>
      </c>
      <c r="O83" s="149">
        <f t="shared" si="17"/>
        <v>1010841.85</v>
      </c>
    </row>
    <row r="84" spans="1:15" ht="13.5" customHeight="1" x14ac:dyDescent="0.35">
      <c r="A84" s="170">
        <v>45005</v>
      </c>
      <c r="B84" s="170" t="s">
        <v>278</v>
      </c>
      <c r="C84" s="167">
        <v>218</v>
      </c>
      <c r="D84" s="169">
        <v>2.5</v>
      </c>
      <c r="E84" s="166">
        <f t="shared" si="18"/>
        <v>12.135</v>
      </c>
      <c r="F84" s="166">
        <f t="shared" si="19"/>
        <v>0.20601565718994644</v>
      </c>
      <c r="G84" s="166">
        <f t="shared" si="20"/>
        <v>17.96456530696333</v>
      </c>
      <c r="H84" s="166">
        <f t="shared" si="21"/>
        <v>18.170580964153277</v>
      </c>
      <c r="I84" s="164">
        <f t="shared" si="22"/>
        <v>62565</v>
      </c>
      <c r="J84" s="164">
        <f t="shared" si="23"/>
        <v>1136842.3980222498</v>
      </c>
      <c r="K84" s="164">
        <f t="shared" si="24"/>
        <v>352421.14338689746</v>
      </c>
      <c r="L84" s="164">
        <v>0</v>
      </c>
      <c r="M84" s="164">
        <f t="shared" si="25"/>
        <v>1489263.5414091472</v>
      </c>
      <c r="N84" s="149">
        <v>0</v>
      </c>
      <c r="O84" s="149">
        <f t="shared" si="17"/>
        <v>1489263.5414091472</v>
      </c>
    </row>
    <row r="85" spans="1:15" ht="13.5" customHeight="1" x14ac:dyDescent="0.35">
      <c r="A85" s="170">
        <v>40001</v>
      </c>
      <c r="B85" s="170" t="s">
        <v>279</v>
      </c>
      <c r="C85" s="167">
        <v>725.63</v>
      </c>
      <c r="D85" s="169">
        <v>2.5</v>
      </c>
      <c r="E85" s="166">
        <f t="shared" si="18"/>
        <v>15</v>
      </c>
      <c r="F85" s="166">
        <f t="shared" si="19"/>
        <v>0.16666666666666666</v>
      </c>
      <c r="G85" s="166">
        <f t="shared" si="20"/>
        <v>48.37533333333333</v>
      </c>
      <c r="H85" s="166">
        <f t="shared" si="21"/>
        <v>48.541999999999994</v>
      </c>
      <c r="I85" s="164">
        <f t="shared" si="22"/>
        <v>62565</v>
      </c>
      <c r="J85" s="164">
        <f t="shared" si="23"/>
        <v>3037030.2299999995</v>
      </c>
      <c r="K85" s="164">
        <f t="shared" si="24"/>
        <v>941479.37129999988</v>
      </c>
      <c r="L85" s="164">
        <v>0</v>
      </c>
      <c r="M85" s="164">
        <f t="shared" si="25"/>
        <v>3978509.6012999993</v>
      </c>
      <c r="N85" s="149">
        <v>0</v>
      </c>
      <c r="O85" s="149">
        <f t="shared" si="17"/>
        <v>3978509.6012999993</v>
      </c>
    </row>
    <row r="86" spans="1:15" ht="13.5" customHeight="1" x14ac:dyDescent="0.35">
      <c r="A86" s="170">
        <v>52004</v>
      </c>
      <c r="B86" s="170" t="s">
        <v>280</v>
      </c>
      <c r="C86" s="167">
        <v>266.55</v>
      </c>
      <c r="D86" s="169">
        <v>0</v>
      </c>
      <c r="E86" s="166">
        <f t="shared" si="18"/>
        <v>12.499124999999999</v>
      </c>
      <c r="F86" s="166">
        <f t="shared" si="19"/>
        <v>0</v>
      </c>
      <c r="G86" s="166">
        <f t="shared" si="20"/>
        <v>21.325492784494916</v>
      </c>
      <c r="H86" s="166">
        <f t="shared" si="21"/>
        <v>21.325492784494916</v>
      </c>
      <c r="I86" s="164">
        <f t="shared" si="22"/>
        <v>62565</v>
      </c>
      <c r="J86" s="164">
        <f t="shared" si="23"/>
        <v>1334229.4560619243</v>
      </c>
      <c r="K86" s="164">
        <f t="shared" si="24"/>
        <v>413611.13137919654</v>
      </c>
      <c r="L86" s="164">
        <v>0</v>
      </c>
      <c r="M86" s="164">
        <f t="shared" si="25"/>
        <v>1747840.5874411208</v>
      </c>
      <c r="N86" s="149">
        <v>0</v>
      </c>
      <c r="O86" s="149">
        <f t="shared" si="17"/>
        <v>1747840.5874411208</v>
      </c>
    </row>
    <row r="87" spans="1:15" ht="13.5" customHeight="1" x14ac:dyDescent="0.35">
      <c r="A87" s="170">
        <v>41004</v>
      </c>
      <c r="B87" s="170" t="s">
        <v>281</v>
      </c>
      <c r="C87" s="167">
        <v>1055.51</v>
      </c>
      <c r="D87" s="169">
        <v>0</v>
      </c>
      <c r="E87" s="166">
        <f t="shared" si="18"/>
        <v>15</v>
      </c>
      <c r="F87" s="166">
        <f t="shared" si="19"/>
        <v>0</v>
      </c>
      <c r="G87" s="166">
        <f t="shared" si="20"/>
        <v>70.367333333333335</v>
      </c>
      <c r="H87" s="166">
        <f t="shared" si="21"/>
        <v>70.367333333333335</v>
      </c>
      <c r="I87" s="164">
        <f t="shared" si="22"/>
        <v>62565</v>
      </c>
      <c r="J87" s="164">
        <f t="shared" si="23"/>
        <v>4402532.21</v>
      </c>
      <c r="K87" s="164">
        <f t="shared" si="24"/>
        <v>1364784.9850999999</v>
      </c>
      <c r="L87" s="164">
        <v>0</v>
      </c>
      <c r="M87" s="164">
        <f t="shared" si="25"/>
        <v>5767317.1951000001</v>
      </c>
      <c r="N87" s="149">
        <v>0</v>
      </c>
      <c r="O87" s="149">
        <f t="shared" si="17"/>
        <v>5767317.1951000001</v>
      </c>
    </row>
    <row r="88" spans="1:15" ht="13.5" customHeight="1" x14ac:dyDescent="0.35">
      <c r="A88" s="170">
        <v>44002</v>
      </c>
      <c r="B88" s="170" t="s">
        <v>282</v>
      </c>
      <c r="C88" s="167">
        <v>185</v>
      </c>
      <c r="D88" s="169">
        <v>5.75</v>
      </c>
      <c r="E88" s="166">
        <f t="shared" si="18"/>
        <v>12</v>
      </c>
      <c r="F88" s="166">
        <f t="shared" si="19"/>
        <v>0.47916666666666669</v>
      </c>
      <c r="G88" s="166">
        <f t="shared" si="20"/>
        <v>15.416666666666666</v>
      </c>
      <c r="H88" s="166">
        <f t="shared" si="21"/>
        <v>15.895833333333332</v>
      </c>
      <c r="I88" s="164">
        <f t="shared" si="22"/>
        <v>62565</v>
      </c>
      <c r="J88" s="164">
        <f t="shared" si="23"/>
        <v>994522.81249999988</v>
      </c>
      <c r="K88" s="164">
        <f t="shared" si="24"/>
        <v>308302.07187499997</v>
      </c>
      <c r="L88" s="164">
        <v>0</v>
      </c>
      <c r="M88" s="164">
        <f t="shared" si="25"/>
        <v>1302824.8843749999</v>
      </c>
      <c r="N88" s="149">
        <v>0</v>
      </c>
      <c r="O88" s="149">
        <f t="shared" si="17"/>
        <v>1302824.8843749999</v>
      </c>
    </row>
    <row r="89" spans="1:15" ht="13.5" customHeight="1" x14ac:dyDescent="0.35">
      <c r="A89" s="170">
        <v>42001</v>
      </c>
      <c r="B89" s="170" t="s">
        <v>283</v>
      </c>
      <c r="C89" s="167">
        <v>410</v>
      </c>
      <c r="D89" s="169">
        <v>0</v>
      </c>
      <c r="E89" s="166">
        <f t="shared" si="18"/>
        <v>13.574999999999999</v>
      </c>
      <c r="F89" s="166">
        <f t="shared" si="19"/>
        <v>0</v>
      </c>
      <c r="G89" s="166">
        <f t="shared" si="20"/>
        <v>30.202578268876614</v>
      </c>
      <c r="H89" s="166">
        <f t="shared" si="21"/>
        <v>30.202578268876614</v>
      </c>
      <c r="I89" s="164">
        <f t="shared" si="22"/>
        <v>62565</v>
      </c>
      <c r="J89" s="164">
        <f t="shared" si="23"/>
        <v>1889624.3093922653</v>
      </c>
      <c r="K89" s="164">
        <f t="shared" si="24"/>
        <v>585783.5359116022</v>
      </c>
      <c r="L89" s="164">
        <v>0</v>
      </c>
      <c r="M89" s="164">
        <f t="shared" si="25"/>
        <v>2475407.8453038675</v>
      </c>
      <c r="N89" s="149">
        <v>0</v>
      </c>
      <c r="O89" s="149">
        <f t="shared" si="17"/>
        <v>2475407.8453038675</v>
      </c>
    </row>
    <row r="90" spans="1:15" ht="13.5" customHeight="1" x14ac:dyDescent="0.35">
      <c r="A90" s="170">
        <v>39002</v>
      </c>
      <c r="B90" s="170" t="s">
        <v>284</v>
      </c>
      <c r="C90" s="167">
        <v>1162.77</v>
      </c>
      <c r="D90" s="169">
        <v>1</v>
      </c>
      <c r="E90" s="166">
        <f t="shared" si="18"/>
        <v>15</v>
      </c>
      <c r="F90" s="166">
        <f t="shared" si="19"/>
        <v>6.6666666666666666E-2</v>
      </c>
      <c r="G90" s="166">
        <f t="shared" si="20"/>
        <v>77.518000000000001</v>
      </c>
      <c r="H90" s="166">
        <f t="shared" si="21"/>
        <v>77.584666666666664</v>
      </c>
      <c r="I90" s="164">
        <f t="shared" si="22"/>
        <v>62565</v>
      </c>
      <c r="J90" s="164">
        <f t="shared" si="23"/>
        <v>4854084.67</v>
      </c>
      <c r="K90" s="164">
        <f t="shared" si="24"/>
        <v>1504766.2476999999</v>
      </c>
      <c r="L90" s="164">
        <v>0</v>
      </c>
      <c r="M90" s="164">
        <f t="shared" si="25"/>
        <v>6358850.9177000001</v>
      </c>
      <c r="N90" s="149">
        <v>0</v>
      </c>
      <c r="O90" s="149">
        <f t="shared" si="17"/>
        <v>6358850.9177000001</v>
      </c>
    </row>
    <row r="91" spans="1:15" ht="13.5" customHeight="1" x14ac:dyDescent="0.35">
      <c r="A91" s="170">
        <v>60003</v>
      </c>
      <c r="B91" s="170" t="s">
        <v>285</v>
      </c>
      <c r="C91" s="167">
        <v>183.9</v>
      </c>
      <c r="D91" s="169">
        <v>1</v>
      </c>
      <c r="E91" s="166">
        <f t="shared" si="18"/>
        <v>12</v>
      </c>
      <c r="F91" s="166">
        <f t="shared" si="19"/>
        <v>8.3333333333333329E-2</v>
      </c>
      <c r="G91" s="166">
        <f t="shared" si="20"/>
        <v>15.325000000000001</v>
      </c>
      <c r="H91" s="166">
        <f t="shared" si="21"/>
        <v>15.408333333333335</v>
      </c>
      <c r="I91" s="164">
        <f t="shared" si="22"/>
        <v>62565</v>
      </c>
      <c r="J91" s="164">
        <f t="shared" si="23"/>
        <v>964022.37500000012</v>
      </c>
      <c r="K91" s="164">
        <f t="shared" si="24"/>
        <v>298846.93625000003</v>
      </c>
      <c r="L91" s="164">
        <v>0</v>
      </c>
      <c r="M91" s="164">
        <f t="shared" si="25"/>
        <v>1262869.3112500003</v>
      </c>
      <c r="N91" s="149">
        <v>0</v>
      </c>
      <c r="O91" s="149">
        <f t="shared" si="17"/>
        <v>1262869.3112500003</v>
      </c>
    </row>
    <row r="92" spans="1:15" ht="13.5" customHeight="1" x14ac:dyDescent="0.35">
      <c r="A92" s="170">
        <v>43007</v>
      </c>
      <c r="B92" s="170" t="s">
        <v>286</v>
      </c>
      <c r="C92" s="167">
        <v>378.54</v>
      </c>
      <c r="D92" s="169">
        <v>1.5</v>
      </c>
      <c r="E92" s="166">
        <f t="shared" si="18"/>
        <v>13.33905</v>
      </c>
      <c r="F92" s="166">
        <f t="shared" si="19"/>
        <v>0.11245178629662532</v>
      </c>
      <c r="G92" s="166">
        <f t="shared" si="20"/>
        <v>28.378332789816366</v>
      </c>
      <c r="H92" s="166">
        <f t="shared" si="21"/>
        <v>28.49078457611299</v>
      </c>
      <c r="I92" s="164">
        <f t="shared" si="22"/>
        <v>62565</v>
      </c>
      <c r="J92" s="164">
        <f t="shared" si="23"/>
        <v>1782525.9370045091</v>
      </c>
      <c r="K92" s="164">
        <f t="shared" si="24"/>
        <v>552583.04047139781</v>
      </c>
      <c r="L92" s="164">
        <v>0</v>
      </c>
      <c r="M92" s="164">
        <f t="shared" si="25"/>
        <v>2335108.9774759067</v>
      </c>
      <c r="N92" s="149">
        <v>0</v>
      </c>
      <c r="O92" s="149">
        <f t="shared" si="17"/>
        <v>2335108.9774759067</v>
      </c>
    </row>
    <row r="93" spans="1:15" ht="13.5" customHeight="1" x14ac:dyDescent="0.35">
      <c r="A93" s="170">
        <v>15001</v>
      </c>
      <c r="B93" s="170" t="s">
        <v>287</v>
      </c>
      <c r="C93" s="167">
        <v>161</v>
      </c>
      <c r="D93" s="169">
        <v>0</v>
      </c>
      <c r="E93" s="166">
        <f t="shared" si="18"/>
        <v>12</v>
      </c>
      <c r="F93" s="166">
        <f t="shared" si="19"/>
        <v>0</v>
      </c>
      <c r="G93" s="166">
        <f t="shared" si="20"/>
        <v>13.416666666666666</v>
      </c>
      <c r="H93" s="166">
        <f t="shared" si="21"/>
        <v>13.416666666666666</v>
      </c>
      <c r="I93" s="164">
        <f t="shared" si="22"/>
        <v>62565</v>
      </c>
      <c r="J93" s="164">
        <f t="shared" si="23"/>
        <v>839413.75</v>
      </c>
      <c r="K93" s="164">
        <f t="shared" si="24"/>
        <v>260218.26250000001</v>
      </c>
      <c r="L93" s="164">
        <v>0</v>
      </c>
      <c r="M93" s="164">
        <f t="shared" si="25"/>
        <v>1099632.0125</v>
      </c>
      <c r="N93" s="149">
        <v>0</v>
      </c>
      <c r="O93" s="149">
        <f t="shared" si="17"/>
        <v>1099632.0125</v>
      </c>
    </row>
    <row r="94" spans="1:15" ht="13.5" customHeight="1" x14ac:dyDescent="0.35">
      <c r="A94" s="170">
        <v>15002</v>
      </c>
      <c r="B94" s="170" t="s">
        <v>288</v>
      </c>
      <c r="C94" s="167">
        <v>457.5</v>
      </c>
      <c r="D94" s="169">
        <v>0.25</v>
      </c>
      <c r="E94" s="166">
        <f t="shared" si="18"/>
        <v>13.93125</v>
      </c>
      <c r="F94" s="166">
        <f t="shared" si="19"/>
        <v>1.794526693584567E-2</v>
      </c>
      <c r="G94" s="166">
        <f t="shared" si="20"/>
        <v>32.839838492597579</v>
      </c>
      <c r="H94" s="166">
        <f t="shared" si="21"/>
        <v>32.857783759533426</v>
      </c>
      <c r="I94" s="164">
        <f t="shared" si="22"/>
        <v>62565</v>
      </c>
      <c r="J94" s="164">
        <f t="shared" si="23"/>
        <v>2055747.2409152088</v>
      </c>
      <c r="K94" s="164">
        <f t="shared" si="24"/>
        <v>637281.64468371472</v>
      </c>
      <c r="L94" s="164">
        <v>0</v>
      </c>
      <c r="M94" s="164">
        <f t="shared" si="25"/>
        <v>2693028.8855989235</v>
      </c>
      <c r="N94" s="149">
        <v>0</v>
      </c>
      <c r="O94" s="149">
        <f t="shared" si="17"/>
        <v>2693028.8855989235</v>
      </c>
    </row>
    <row r="95" spans="1:15" ht="13.5" customHeight="1" x14ac:dyDescent="0.35">
      <c r="A95" s="170">
        <v>46001</v>
      </c>
      <c r="B95" s="170" t="s">
        <v>289</v>
      </c>
      <c r="C95" s="167">
        <v>2832.79</v>
      </c>
      <c r="D95" s="169">
        <v>0</v>
      </c>
      <c r="E95" s="166">
        <f t="shared" si="18"/>
        <v>15</v>
      </c>
      <c r="F95" s="166">
        <f t="shared" si="19"/>
        <v>0</v>
      </c>
      <c r="G95" s="166">
        <f t="shared" si="20"/>
        <v>188.85266666666666</v>
      </c>
      <c r="H95" s="166">
        <f t="shared" si="21"/>
        <v>188.85266666666666</v>
      </c>
      <c r="I95" s="164">
        <f t="shared" si="22"/>
        <v>62565</v>
      </c>
      <c r="J95" s="164">
        <f t="shared" si="23"/>
        <v>11815567.09</v>
      </c>
      <c r="K95" s="164">
        <f t="shared" si="24"/>
        <v>3662825.7979000001</v>
      </c>
      <c r="L95" s="164">
        <v>0</v>
      </c>
      <c r="M95" s="164">
        <f t="shared" si="25"/>
        <v>15478392.8879</v>
      </c>
      <c r="N95" s="149">
        <v>0</v>
      </c>
      <c r="O95" s="149">
        <f t="shared" si="17"/>
        <v>15478392.8879</v>
      </c>
    </row>
    <row r="96" spans="1:15" ht="13.5" customHeight="1" x14ac:dyDescent="0.35">
      <c r="A96" s="170">
        <v>33002</v>
      </c>
      <c r="B96" s="170" t="s">
        <v>290</v>
      </c>
      <c r="C96" s="167">
        <v>280</v>
      </c>
      <c r="D96" s="169">
        <v>5.75</v>
      </c>
      <c r="E96" s="166">
        <f t="shared" si="18"/>
        <v>12.6</v>
      </c>
      <c r="F96" s="166">
        <f t="shared" si="19"/>
        <v>0.45634920634920634</v>
      </c>
      <c r="G96" s="166">
        <f t="shared" si="20"/>
        <v>22.222222222222221</v>
      </c>
      <c r="H96" s="166">
        <f t="shared" si="21"/>
        <v>22.678571428571427</v>
      </c>
      <c r="I96" s="164">
        <f t="shared" si="22"/>
        <v>62565</v>
      </c>
      <c r="J96" s="164">
        <f t="shared" si="23"/>
        <v>1418884.8214285714</v>
      </c>
      <c r="K96" s="164">
        <f t="shared" si="24"/>
        <v>439854.2946428571</v>
      </c>
      <c r="L96" s="164">
        <v>0</v>
      </c>
      <c r="M96" s="164">
        <f t="shared" si="25"/>
        <v>1858739.1160714284</v>
      </c>
      <c r="N96" s="149">
        <v>0</v>
      </c>
      <c r="O96" s="149">
        <f t="shared" si="17"/>
        <v>1858739.1160714284</v>
      </c>
    </row>
    <row r="97" spans="1:15" ht="13.5" customHeight="1" x14ac:dyDescent="0.35">
      <c r="A97" s="170">
        <v>25004</v>
      </c>
      <c r="B97" s="170" t="s">
        <v>291</v>
      </c>
      <c r="C97" s="167">
        <v>932.3</v>
      </c>
      <c r="D97" s="169">
        <v>2.75</v>
      </c>
      <c r="E97" s="166">
        <f t="shared" si="18"/>
        <v>15</v>
      </c>
      <c r="F97" s="166">
        <f t="shared" si="19"/>
        <v>0.18333333333333332</v>
      </c>
      <c r="G97" s="166">
        <f t="shared" si="20"/>
        <v>62.153333333333329</v>
      </c>
      <c r="H97" s="166">
        <f t="shared" si="21"/>
        <v>62.336666666666659</v>
      </c>
      <c r="I97" s="164">
        <f t="shared" si="22"/>
        <v>62565</v>
      </c>
      <c r="J97" s="164">
        <f t="shared" si="23"/>
        <v>3900093.5499999993</v>
      </c>
      <c r="K97" s="164">
        <f t="shared" si="24"/>
        <v>1209029.0004999998</v>
      </c>
      <c r="L97" s="164">
        <v>0</v>
      </c>
      <c r="M97" s="164">
        <f t="shared" si="25"/>
        <v>5109122.550499999</v>
      </c>
      <c r="N97" s="149">
        <v>0</v>
      </c>
      <c r="O97" s="149">
        <f t="shared" si="17"/>
        <v>5109122.550499999</v>
      </c>
    </row>
    <row r="98" spans="1:15" ht="13.5" customHeight="1" x14ac:dyDescent="0.35">
      <c r="A98" s="170">
        <v>29004</v>
      </c>
      <c r="B98" s="170" t="s">
        <v>292</v>
      </c>
      <c r="C98" s="167">
        <v>456.2</v>
      </c>
      <c r="D98" s="169">
        <v>2</v>
      </c>
      <c r="E98" s="166">
        <f t="shared" si="18"/>
        <v>13.9215</v>
      </c>
      <c r="F98" s="166">
        <f t="shared" si="19"/>
        <v>0.1436626800272959</v>
      </c>
      <c r="G98" s="166">
        <f t="shared" si="20"/>
        <v>32.769457314226194</v>
      </c>
      <c r="H98" s="166">
        <f t="shared" si="21"/>
        <v>32.913119994253492</v>
      </c>
      <c r="I98" s="164">
        <f t="shared" si="22"/>
        <v>62565</v>
      </c>
      <c r="J98" s="164">
        <f t="shared" si="23"/>
        <v>2059209.3524404697</v>
      </c>
      <c r="K98" s="164">
        <f t="shared" si="24"/>
        <v>638354.89925654558</v>
      </c>
      <c r="L98" s="164">
        <v>0</v>
      </c>
      <c r="M98" s="164">
        <f t="shared" si="25"/>
        <v>2697564.251697015</v>
      </c>
      <c r="N98" s="149">
        <v>0</v>
      </c>
      <c r="O98" s="149">
        <f t="shared" si="17"/>
        <v>2697564.251697015</v>
      </c>
    </row>
    <row r="99" spans="1:15" ht="14.25" customHeight="1" x14ac:dyDescent="0.35">
      <c r="A99" s="170">
        <v>17002</v>
      </c>
      <c r="B99" s="170" t="s">
        <v>293</v>
      </c>
      <c r="C99" s="167">
        <v>2783.9</v>
      </c>
      <c r="D99" s="169">
        <v>5.25</v>
      </c>
      <c r="E99" s="166">
        <f t="shared" si="18"/>
        <v>15</v>
      </c>
      <c r="F99" s="166">
        <f t="shared" si="19"/>
        <v>0.35</v>
      </c>
      <c r="G99" s="166">
        <f t="shared" si="20"/>
        <v>185.59333333333333</v>
      </c>
      <c r="H99" s="166">
        <f t="shared" si="21"/>
        <v>185.94333333333333</v>
      </c>
      <c r="I99" s="164">
        <f t="shared" si="22"/>
        <v>62565</v>
      </c>
      <c r="J99" s="164">
        <f t="shared" si="23"/>
        <v>11633544.65</v>
      </c>
      <c r="K99" s="164">
        <f t="shared" si="24"/>
        <v>3606398.8415000001</v>
      </c>
      <c r="L99" s="164">
        <v>0</v>
      </c>
      <c r="M99" s="164">
        <f t="shared" si="25"/>
        <v>15239943.491500001</v>
      </c>
      <c r="N99" s="149">
        <v>0</v>
      </c>
      <c r="O99" s="149">
        <f t="shared" si="17"/>
        <v>15239943.491500001</v>
      </c>
    </row>
    <row r="100" spans="1:15" ht="13.5" customHeight="1" x14ac:dyDescent="0.35">
      <c r="A100" s="170">
        <v>62006</v>
      </c>
      <c r="B100" s="170" t="s">
        <v>294</v>
      </c>
      <c r="C100" s="167">
        <v>660.42</v>
      </c>
      <c r="D100" s="169">
        <v>0</v>
      </c>
      <c r="E100" s="166">
        <f t="shared" si="18"/>
        <v>15</v>
      </c>
      <c r="F100" s="166">
        <f t="shared" si="19"/>
        <v>0</v>
      </c>
      <c r="G100" s="166">
        <f t="shared" si="20"/>
        <v>44.027999999999999</v>
      </c>
      <c r="H100" s="166">
        <f t="shared" si="21"/>
        <v>44.027999999999999</v>
      </c>
      <c r="I100" s="164">
        <f t="shared" si="22"/>
        <v>62565</v>
      </c>
      <c r="J100" s="164">
        <f t="shared" si="23"/>
        <v>2754611.82</v>
      </c>
      <c r="K100" s="164">
        <f t="shared" si="24"/>
        <v>853929.6642</v>
      </c>
      <c r="L100" s="164">
        <v>0</v>
      </c>
      <c r="M100" s="164">
        <f t="shared" si="25"/>
        <v>3608541.4841999998</v>
      </c>
      <c r="N100" s="149">
        <v>0</v>
      </c>
      <c r="O100" s="149">
        <f t="shared" si="17"/>
        <v>3608541.4841999998</v>
      </c>
    </row>
    <row r="101" spans="1:15" ht="13.5" customHeight="1" x14ac:dyDescent="0.35">
      <c r="A101" s="170">
        <v>43002</v>
      </c>
      <c r="B101" s="170" t="s">
        <v>295</v>
      </c>
      <c r="C101" s="167">
        <v>244</v>
      </c>
      <c r="D101" s="169">
        <v>2</v>
      </c>
      <c r="E101" s="166">
        <f t="shared" si="18"/>
        <v>12.33</v>
      </c>
      <c r="F101" s="166">
        <f t="shared" si="19"/>
        <v>0.16220600162206</v>
      </c>
      <c r="G101" s="166">
        <f t="shared" si="20"/>
        <v>19.789132197891323</v>
      </c>
      <c r="H101" s="166">
        <f t="shared" si="21"/>
        <v>19.951338199513383</v>
      </c>
      <c r="I101" s="164">
        <f t="shared" si="22"/>
        <v>62565</v>
      </c>
      <c r="J101" s="164">
        <f t="shared" si="23"/>
        <v>1248255.4744525549</v>
      </c>
      <c r="K101" s="164">
        <f t="shared" si="24"/>
        <v>386959.19708029204</v>
      </c>
      <c r="L101" s="164">
        <v>0</v>
      </c>
      <c r="M101" s="164">
        <f t="shared" si="25"/>
        <v>1635214.671532847</v>
      </c>
      <c r="N101" s="149">
        <v>0</v>
      </c>
      <c r="O101" s="149">
        <f t="shared" si="17"/>
        <v>1635214.671532847</v>
      </c>
    </row>
    <row r="102" spans="1:15" ht="13.5" customHeight="1" x14ac:dyDescent="0.35">
      <c r="A102" s="170">
        <v>17003</v>
      </c>
      <c r="B102" s="170" t="s">
        <v>296</v>
      </c>
      <c r="C102" s="167">
        <v>200</v>
      </c>
      <c r="D102" s="169">
        <v>0</v>
      </c>
      <c r="E102" s="166">
        <f t="shared" si="18"/>
        <v>12</v>
      </c>
      <c r="F102" s="166">
        <f t="shared" si="19"/>
        <v>0</v>
      </c>
      <c r="G102" s="166">
        <f t="shared" si="20"/>
        <v>16.666666666666668</v>
      </c>
      <c r="H102" s="166">
        <f t="shared" si="21"/>
        <v>16.666666666666668</v>
      </c>
      <c r="I102" s="164">
        <f t="shared" si="22"/>
        <v>62565</v>
      </c>
      <c r="J102" s="164">
        <f t="shared" si="23"/>
        <v>1042750.0000000001</v>
      </c>
      <c r="K102" s="164">
        <f t="shared" si="24"/>
        <v>323252.50000000006</v>
      </c>
      <c r="L102" s="164">
        <v>0</v>
      </c>
      <c r="M102" s="164">
        <f t="shared" si="25"/>
        <v>1366002.5000000002</v>
      </c>
      <c r="N102" s="149">
        <v>0</v>
      </c>
      <c r="O102" s="149">
        <f t="shared" si="17"/>
        <v>1366002.5000000002</v>
      </c>
    </row>
    <row r="103" spans="1:15" ht="13.5" customHeight="1" x14ac:dyDescent="0.35">
      <c r="A103" s="170">
        <v>51003</v>
      </c>
      <c r="B103" s="170" t="s">
        <v>297</v>
      </c>
      <c r="C103" s="167">
        <v>246</v>
      </c>
      <c r="D103" s="169">
        <v>0</v>
      </c>
      <c r="E103" s="166">
        <f t="shared" si="18"/>
        <v>12.345000000000001</v>
      </c>
      <c r="F103" s="166">
        <f t="shared" si="19"/>
        <v>0</v>
      </c>
      <c r="G103" s="166">
        <f t="shared" si="20"/>
        <v>19.927095990279465</v>
      </c>
      <c r="H103" s="166">
        <f t="shared" si="21"/>
        <v>19.927095990279465</v>
      </c>
      <c r="I103" s="164">
        <f t="shared" si="22"/>
        <v>62565</v>
      </c>
      <c r="J103" s="164">
        <f t="shared" si="23"/>
        <v>1246738.7606318346</v>
      </c>
      <c r="K103" s="164">
        <f t="shared" si="24"/>
        <v>386489.01579586871</v>
      </c>
      <c r="L103" s="164">
        <v>0</v>
      </c>
      <c r="M103" s="164">
        <f t="shared" si="25"/>
        <v>1633227.7764277034</v>
      </c>
      <c r="N103" s="149">
        <v>0</v>
      </c>
      <c r="O103" s="149">
        <f t="shared" si="17"/>
        <v>1633227.7764277034</v>
      </c>
    </row>
    <row r="104" spans="1:15" ht="13.5" customHeight="1" x14ac:dyDescent="0.35">
      <c r="A104" s="170">
        <v>9002</v>
      </c>
      <c r="B104" s="170" t="s">
        <v>298</v>
      </c>
      <c r="C104" s="167">
        <v>297.47000000000003</v>
      </c>
      <c r="D104" s="169">
        <v>0</v>
      </c>
      <c r="E104" s="166">
        <f t="shared" si="18"/>
        <v>12.731025000000001</v>
      </c>
      <c r="F104" s="166">
        <f t="shared" si="19"/>
        <v>0</v>
      </c>
      <c r="G104" s="166">
        <f t="shared" si="20"/>
        <v>23.365754132129975</v>
      </c>
      <c r="H104" s="166">
        <f t="shared" si="21"/>
        <v>23.365754132129975</v>
      </c>
      <c r="I104" s="164">
        <f t="shared" si="22"/>
        <v>62565</v>
      </c>
      <c r="J104" s="164">
        <f t="shared" si="23"/>
        <v>1461878.4072767119</v>
      </c>
      <c r="K104" s="164">
        <f t="shared" si="24"/>
        <v>453182.30625578068</v>
      </c>
      <c r="L104" s="164">
        <v>0</v>
      </c>
      <c r="M104" s="164">
        <f t="shared" si="25"/>
        <v>1915060.7135324925</v>
      </c>
      <c r="N104" s="149">
        <v>0</v>
      </c>
      <c r="O104" s="149">
        <f t="shared" si="17"/>
        <v>1915060.7135324925</v>
      </c>
    </row>
    <row r="105" spans="1:15" ht="13.5" customHeight="1" x14ac:dyDescent="0.35">
      <c r="A105" s="170">
        <v>56007</v>
      </c>
      <c r="B105" s="170" t="s">
        <v>299</v>
      </c>
      <c r="C105" s="167">
        <v>227</v>
      </c>
      <c r="D105" s="169">
        <v>0</v>
      </c>
      <c r="E105" s="166">
        <f t="shared" si="18"/>
        <v>12.202500000000001</v>
      </c>
      <c r="F105" s="166">
        <f t="shared" si="19"/>
        <v>0</v>
      </c>
      <c r="G105" s="166">
        <f t="shared" si="20"/>
        <v>18.602745339069862</v>
      </c>
      <c r="H105" s="166">
        <f t="shared" si="21"/>
        <v>18.602745339069862</v>
      </c>
      <c r="I105" s="164">
        <f t="shared" si="22"/>
        <v>62565</v>
      </c>
      <c r="J105" s="164">
        <f t="shared" si="23"/>
        <v>1163880.7621389059</v>
      </c>
      <c r="K105" s="164">
        <f t="shared" si="24"/>
        <v>360803.03626306081</v>
      </c>
      <c r="L105" s="164">
        <v>0</v>
      </c>
      <c r="M105" s="164">
        <f t="shared" si="25"/>
        <v>1524683.7984019667</v>
      </c>
      <c r="N105" s="149">
        <v>0</v>
      </c>
      <c r="O105" s="149">
        <f t="shared" si="17"/>
        <v>1524683.7984019667</v>
      </c>
    </row>
    <row r="106" spans="1:15" ht="13.5" customHeight="1" x14ac:dyDescent="0.35">
      <c r="A106" s="170">
        <v>23003</v>
      </c>
      <c r="B106" s="170" t="s">
        <v>300</v>
      </c>
      <c r="C106" s="167">
        <v>136</v>
      </c>
      <c r="D106" s="169">
        <v>0</v>
      </c>
      <c r="E106" s="166">
        <f t="shared" si="18"/>
        <v>12</v>
      </c>
      <c r="F106" s="166">
        <f t="shared" si="19"/>
        <v>0</v>
      </c>
      <c r="G106" s="166">
        <f t="shared" si="20"/>
        <v>11.333333333333334</v>
      </c>
      <c r="H106" s="166">
        <f t="shared" si="21"/>
        <v>11.333333333333334</v>
      </c>
      <c r="I106" s="164">
        <f t="shared" si="22"/>
        <v>62565</v>
      </c>
      <c r="J106" s="164">
        <f t="shared" si="23"/>
        <v>709070</v>
      </c>
      <c r="K106" s="164">
        <f t="shared" si="24"/>
        <v>219811.7</v>
      </c>
      <c r="L106" s="164">
        <v>0</v>
      </c>
      <c r="M106" s="164">
        <f t="shared" si="25"/>
        <v>928881.7</v>
      </c>
      <c r="N106" s="149">
        <v>0</v>
      </c>
      <c r="O106" s="149">
        <f t="shared" si="17"/>
        <v>928881.7</v>
      </c>
    </row>
    <row r="107" spans="1:15" ht="13.5" customHeight="1" x14ac:dyDescent="0.35">
      <c r="A107" s="170">
        <v>65001</v>
      </c>
      <c r="B107" s="170" t="s">
        <v>373</v>
      </c>
      <c r="C107" s="167">
        <v>1402.8</v>
      </c>
      <c r="D107" s="169">
        <v>7</v>
      </c>
      <c r="E107" s="166">
        <f t="shared" si="18"/>
        <v>15</v>
      </c>
      <c r="F107" s="166">
        <f t="shared" si="19"/>
        <v>0.46666666666666667</v>
      </c>
      <c r="G107" s="166">
        <f t="shared" si="20"/>
        <v>93.52</v>
      </c>
      <c r="H107" s="166">
        <f t="shared" si="21"/>
        <v>93.986666666666665</v>
      </c>
      <c r="I107" s="164">
        <f t="shared" si="22"/>
        <v>62565</v>
      </c>
      <c r="J107" s="164">
        <f t="shared" si="23"/>
        <v>5880275.7999999998</v>
      </c>
      <c r="K107" s="164">
        <f t="shared" si="24"/>
        <v>1822885.4979999999</v>
      </c>
      <c r="L107" s="164">
        <v>0</v>
      </c>
      <c r="M107" s="164">
        <f t="shared" si="25"/>
        <v>7703161.2979999995</v>
      </c>
      <c r="N107" s="149">
        <v>0</v>
      </c>
      <c r="O107" s="149">
        <f t="shared" si="17"/>
        <v>7703161.2979999995</v>
      </c>
    </row>
    <row r="108" spans="1:15" ht="13.5" customHeight="1" x14ac:dyDescent="0.35">
      <c r="A108" s="170">
        <v>39005</v>
      </c>
      <c r="B108" s="170" t="s">
        <v>302</v>
      </c>
      <c r="C108" s="167">
        <v>158</v>
      </c>
      <c r="D108" s="169">
        <v>3.25</v>
      </c>
      <c r="E108" s="166">
        <f t="shared" si="18"/>
        <v>12</v>
      </c>
      <c r="F108" s="166">
        <f t="shared" si="19"/>
        <v>0.27083333333333331</v>
      </c>
      <c r="G108" s="166">
        <f t="shared" si="20"/>
        <v>13.166666666666666</v>
      </c>
      <c r="H108" s="166">
        <f t="shared" si="21"/>
        <v>13.4375</v>
      </c>
      <c r="I108" s="164">
        <f t="shared" si="22"/>
        <v>62565</v>
      </c>
      <c r="J108" s="164">
        <f t="shared" si="23"/>
        <v>840717.1875</v>
      </c>
      <c r="K108" s="164">
        <f t="shared" si="24"/>
        <v>260622.328125</v>
      </c>
      <c r="L108" s="164">
        <v>0</v>
      </c>
      <c r="M108" s="164">
        <f t="shared" si="25"/>
        <v>1101339.515625</v>
      </c>
      <c r="N108" s="149">
        <v>0</v>
      </c>
      <c r="O108" s="149">
        <f t="shared" si="17"/>
        <v>1101339.515625</v>
      </c>
    </row>
    <row r="109" spans="1:15" ht="13.5" customHeight="1" x14ac:dyDescent="0.35">
      <c r="A109" s="170">
        <v>60004</v>
      </c>
      <c r="B109" s="170" t="s">
        <v>303</v>
      </c>
      <c r="C109" s="167">
        <v>419</v>
      </c>
      <c r="D109" s="169">
        <v>1.25</v>
      </c>
      <c r="E109" s="166">
        <f t="shared" si="18"/>
        <v>13.6425</v>
      </c>
      <c r="F109" s="166">
        <f t="shared" si="19"/>
        <v>9.16254352208173E-2</v>
      </c>
      <c r="G109" s="166">
        <f t="shared" si="20"/>
        <v>30.712845886017959</v>
      </c>
      <c r="H109" s="166">
        <f t="shared" si="21"/>
        <v>30.804471321238776</v>
      </c>
      <c r="I109" s="164">
        <f t="shared" si="22"/>
        <v>62565</v>
      </c>
      <c r="J109" s="164">
        <f t="shared" si="23"/>
        <v>1927281.748213304</v>
      </c>
      <c r="K109" s="164">
        <f t="shared" si="24"/>
        <v>597457.34194612422</v>
      </c>
      <c r="L109" s="164">
        <v>0</v>
      </c>
      <c r="M109" s="164">
        <f t="shared" si="25"/>
        <v>2524739.0901594283</v>
      </c>
      <c r="N109" s="149">
        <v>0</v>
      </c>
      <c r="O109" s="149">
        <f t="shared" si="17"/>
        <v>2524739.0901594283</v>
      </c>
    </row>
    <row r="110" spans="1:15" ht="13.5" customHeight="1" x14ac:dyDescent="0.35">
      <c r="A110" s="170">
        <v>33003</v>
      </c>
      <c r="B110" s="170" t="s">
        <v>304</v>
      </c>
      <c r="C110" s="167">
        <v>516.69000000000005</v>
      </c>
      <c r="D110" s="169">
        <v>2</v>
      </c>
      <c r="E110" s="166">
        <f>(((C110-13.3)*0.0075)+10.5)</f>
        <v>14.275425</v>
      </c>
      <c r="F110" s="166">
        <f t="shared" si="19"/>
        <v>0.14010090767875563</v>
      </c>
      <c r="G110" s="166">
        <f t="shared" si="20"/>
        <v>36.194368994268125</v>
      </c>
      <c r="H110" s="166">
        <f t="shared" si="21"/>
        <v>36.334469901946882</v>
      </c>
      <c r="I110" s="164">
        <f t="shared" si="22"/>
        <v>62565</v>
      </c>
      <c r="J110" s="164">
        <f t="shared" si="23"/>
        <v>2273266.1094153067</v>
      </c>
      <c r="K110" s="164">
        <f t="shared" si="24"/>
        <v>704712.49391874508</v>
      </c>
      <c r="L110" s="164">
        <v>0</v>
      </c>
      <c r="M110" s="164">
        <f t="shared" si="25"/>
        <v>2977978.6033340516</v>
      </c>
      <c r="N110" s="149">
        <v>0</v>
      </c>
      <c r="O110" s="149">
        <f t="shared" si="17"/>
        <v>2977978.6033340516</v>
      </c>
    </row>
    <row r="111" spans="1:15" ht="13.5" customHeight="1" x14ac:dyDescent="0.35">
      <c r="A111" s="170">
        <v>32002</v>
      </c>
      <c r="B111" s="170" t="s">
        <v>305</v>
      </c>
      <c r="C111" s="167">
        <v>2682.24</v>
      </c>
      <c r="D111" s="169">
        <v>0</v>
      </c>
      <c r="E111" s="166">
        <f>IF(C111&lt;200,12,IF(C111&gt;600,15,(C111*0.0075)+10.5))</f>
        <v>15</v>
      </c>
      <c r="F111" s="166">
        <f t="shared" si="19"/>
        <v>0</v>
      </c>
      <c r="G111" s="166">
        <f t="shared" si="20"/>
        <v>178.81599999999997</v>
      </c>
      <c r="H111" s="166">
        <f t="shared" si="21"/>
        <v>178.81599999999997</v>
      </c>
      <c r="I111" s="164">
        <f t="shared" si="22"/>
        <v>62565</v>
      </c>
      <c r="J111" s="164">
        <f t="shared" si="23"/>
        <v>11187623.039999999</v>
      </c>
      <c r="K111" s="164">
        <f t="shared" si="24"/>
        <v>3468163.1423999998</v>
      </c>
      <c r="L111" s="164">
        <v>5683</v>
      </c>
      <c r="M111" s="164">
        <f t="shared" si="25"/>
        <v>14661469.182399999</v>
      </c>
      <c r="N111" s="149">
        <v>0</v>
      </c>
      <c r="O111" s="149">
        <f t="shared" si="17"/>
        <v>14661469.182399999</v>
      </c>
    </row>
    <row r="112" spans="1:15" ht="13.5" customHeight="1" x14ac:dyDescent="0.35">
      <c r="A112" s="170">
        <v>1001</v>
      </c>
      <c r="B112" s="170" t="s">
        <v>306</v>
      </c>
      <c r="C112" s="167">
        <v>309</v>
      </c>
      <c r="D112" s="169">
        <v>2.25</v>
      </c>
      <c r="E112" s="166">
        <f>(((C112-38))*0.0075)+10.5</f>
        <v>12.532499999999999</v>
      </c>
      <c r="F112" s="166">
        <f t="shared" si="19"/>
        <v>0.17953321364452426</v>
      </c>
      <c r="G112" s="166">
        <f t="shared" si="20"/>
        <v>24.655894673847996</v>
      </c>
      <c r="H112" s="166">
        <f t="shared" si="21"/>
        <v>24.835427887492521</v>
      </c>
      <c r="I112" s="164">
        <f t="shared" si="22"/>
        <v>62565</v>
      </c>
      <c r="J112" s="164">
        <f t="shared" si="23"/>
        <v>1553828.5457809696</v>
      </c>
      <c r="K112" s="164">
        <f t="shared" si="24"/>
        <v>481686.84919210058</v>
      </c>
      <c r="L112" s="164">
        <v>0</v>
      </c>
      <c r="M112" s="164">
        <f t="shared" si="25"/>
        <v>2035515.3949730701</v>
      </c>
      <c r="N112" s="149">
        <v>0</v>
      </c>
      <c r="O112" s="149">
        <f t="shared" si="17"/>
        <v>2035515.3949730701</v>
      </c>
    </row>
    <row r="113" spans="1:15" ht="13.5" customHeight="1" x14ac:dyDescent="0.35">
      <c r="A113" s="170">
        <v>11005</v>
      </c>
      <c r="B113" s="170" t="s">
        <v>307</v>
      </c>
      <c r="C113" s="167">
        <v>500.08</v>
      </c>
      <c r="D113" s="169">
        <v>2</v>
      </c>
      <c r="E113" s="166">
        <f t="shared" ref="E113:E144" si="26">IF(C113&lt;200,12,IF(C113&gt;600,15,(C113*0.0075)+10.5))</f>
        <v>14.2506</v>
      </c>
      <c r="F113" s="166">
        <f t="shared" si="19"/>
        <v>0.14034496793117482</v>
      </c>
      <c r="G113" s="166">
        <f t="shared" si="20"/>
        <v>35.091855781510951</v>
      </c>
      <c r="H113" s="166">
        <f t="shared" si="21"/>
        <v>35.232200749442129</v>
      </c>
      <c r="I113" s="164">
        <f t="shared" si="22"/>
        <v>62565</v>
      </c>
      <c r="J113" s="164">
        <f t="shared" si="23"/>
        <v>2204302.6398888468</v>
      </c>
      <c r="K113" s="164">
        <f t="shared" si="24"/>
        <v>683333.81836554245</v>
      </c>
      <c r="L113" s="164">
        <v>0</v>
      </c>
      <c r="M113" s="164">
        <f t="shared" si="25"/>
        <v>2887636.4582543895</v>
      </c>
      <c r="N113" s="149">
        <v>0</v>
      </c>
      <c r="O113" s="149">
        <f t="shared" si="17"/>
        <v>2887636.4582543895</v>
      </c>
    </row>
    <row r="114" spans="1:15" ht="13.5" customHeight="1" x14ac:dyDescent="0.35">
      <c r="A114" s="170">
        <v>51004</v>
      </c>
      <c r="B114" s="170" t="s">
        <v>372</v>
      </c>
      <c r="C114" s="167">
        <v>13656.02</v>
      </c>
      <c r="D114" s="169">
        <v>8.5</v>
      </c>
      <c r="E114" s="166">
        <f t="shared" si="26"/>
        <v>15</v>
      </c>
      <c r="F114" s="166">
        <f t="shared" si="19"/>
        <v>0.56666666666666665</v>
      </c>
      <c r="G114" s="166">
        <f t="shared" si="20"/>
        <v>910.40133333333335</v>
      </c>
      <c r="H114" s="166">
        <f t="shared" si="21"/>
        <v>910.96800000000007</v>
      </c>
      <c r="I114" s="164">
        <f t="shared" si="22"/>
        <v>62565</v>
      </c>
      <c r="J114" s="164">
        <f t="shared" si="23"/>
        <v>56994712.920000002</v>
      </c>
      <c r="K114" s="164">
        <f t="shared" si="24"/>
        <v>17668361.005199999</v>
      </c>
      <c r="L114" s="164">
        <v>41231</v>
      </c>
      <c r="M114" s="164">
        <f t="shared" si="25"/>
        <v>74704304.9252</v>
      </c>
      <c r="N114" s="149">
        <v>0</v>
      </c>
      <c r="O114" s="149">
        <f t="shared" si="17"/>
        <v>74704304.9252</v>
      </c>
    </row>
    <row r="115" spans="1:15" ht="13.5" customHeight="1" x14ac:dyDescent="0.35">
      <c r="A115" s="170">
        <v>56004</v>
      </c>
      <c r="B115" s="170" t="s">
        <v>309</v>
      </c>
      <c r="C115" s="167">
        <v>617.35</v>
      </c>
      <c r="D115" s="169">
        <v>0</v>
      </c>
      <c r="E115" s="166">
        <f t="shared" si="26"/>
        <v>15</v>
      </c>
      <c r="F115" s="166">
        <f t="shared" si="19"/>
        <v>0</v>
      </c>
      <c r="G115" s="166">
        <f t="shared" si="20"/>
        <v>41.156666666666666</v>
      </c>
      <c r="H115" s="166">
        <f t="shared" si="21"/>
        <v>41.156666666666666</v>
      </c>
      <c r="I115" s="164">
        <f t="shared" si="22"/>
        <v>62565</v>
      </c>
      <c r="J115" s="164">
        <f t="shared" si="23"/>
        <v>2574966.85</v>
      </c>
      <c r="K115" s="164">
        <f t="shared" si="24"/>
        <v>798239.72350000008</v>
      </c>
      <c r="L115" s="164">
        <v>0</v>
      </c>
      <c r="M115" s="164">
        <f t="shared" si="25"/>
        <v>3373206.5734999999</v>
      </c>
      <c r="N115" s="149">
        <v>0</v>
      </c>
      <c r="O115" s="149">
        <f t="shared" si="17"/>
        <v>3373206.5734999999</v>
      </c>
    </row>
    <row r="116" spans="1:15" ht="13.5" customHeight="1" x14ac:dyDescent="0.35">
      <c r="A116" s="170">
        <v>54004</v>
      </c>
      <c r="B116" s="170" t="s">
        <v>310</v>
      </c>
      <c r="C116" s="167">
        <v>229</v>
      </c>
      <c r="D116" s="169">
        <v>2</v>
      </c>
      <c r="E116" s="166">
        <f t="shared" si="26"/>
        <v>12.217499999999999</v>
      </c>
      <c r="F116" s="166">
        <f t="shared" si="19"/>
        <v>0.16369961121342338</v>
      </c>
      <c r="G116" s="166">
        <f t="shared" si="20"/>
        <v>18.743605483936978</v>
      </c>
      <c r="H116" s="166">
        <f t="shared" si="21"/>
        <v>18.907305095150402</v>
      </c>
      <c r="I116" s="164">
        <f t="shared" si="22"/>
        <v>62565</v>
      </c>
      <c r="J116" s="164">
        <f t="shared" si="23"/>
        <v>1182935.5432780848</v>
      </c>
      <c r="K116" s="164">
        <f t="shared" si="24"/>
        <v>366710.01841620629</v>
      </c>
      <c r="L116" s="164">
        <v>0</v>
      </c>
      <c r="M116" s="164">
        <f t="shared" si="25"/>
        <v>1549645.5616942912</v>
      </c>
      <c r="N116" s="149">
        <v>0</v>
      </c>
      <c r="O116" s="149">
        <f t="shared" si="17"/>
        <v>1549645.5616942912</v>
      </c>
    </row>
    <row r="117" spans="1:15" ht="13.5" customHeight="1" x14ac:dyDescent="0.35">
      <c r="A117" s="170">
        <v>39004</v>
      </c>
      <c r="B117" s="170" t="s">
        <v>311</v>
      </c>
      <c r="C117" s="167">
        <v>163</v>
      </c>
      <c r="D117" s="169">
        <v>0.75</v>
      </c>
      <c r="E117" s="166">
        <f t="shared" si="26"/>
        <v>12</v>
      </c>
      <c r="F117" s="166">
        <f t="shared" si="19"/>
        <v>6.25E-2</v>
      </c>
      <c r="G117" s="166">
        <f t="shared" si="20"/>
        <v>13.583333333333334</v>
      </c>
      <c r="H117" s="166">
        <f t="shared" si="21"/>
        <v>13.645833333333334</v>
      </c>
      <c r="I117" s="164">
        <f t="shared" si="22"/>
        <v>62565</v>
      </c>
      <c r="J117" s="164">
        <f t="shared" si="23"/>
        <v>853751.5625</v>
      </c>
      <c r="K117" s="164">
        <f t="shared" si="24"/>
        <v>264662.984375</v>
      </c>
      <c r="L117" s="164">
        <v>0</v>
      </c>
      <c r="M117" s="164">
        <f t="shared" si="25"/>
        <v>1118414.546875</v>
      </c>
      <c r="N117" s="149">
        <v>0</v>
      </c>
      <c r="O117" s="149">
        <f t="shared" si="17"/>
        <v>1118414.546875</v>
      </c>
    </row>
    <row r="118" spans="1:15" ht="13.5" customHeight="1" x14ac:dyDescent="0.35">
      <c r="A118" s="170">
        <v>55005</v>
      </c>
      <c r="B118" s="170" t="s">
        <v>312</v>
      </c>
      <c r="C118" s="167">
        <v>190</v>
      </c>
      <c r="D118" s="169">
        <v>1.25</v>
      </c>
      <c r="E118" s="166">
        <f t="shared" si="26"/>
        <v>12</v>
      </c>
      <c r="F118" s="166">
        <f t="shared" si="19"/>
        <v>0.10416666666666667</v>
      </c>
      <c r="G118" s="166">
        <f t="shared" si="20"/>
        <v>15.833333333333334</v>
      </c>
      <c r="H118" s="166">
        <f t="shared" si="21"/>
        <v>15.9375</v>
      </c>
      <c r="I118" s="164">
        <f t="shared" si="22"/>
        <v>62565</v>
      </c>
      <c r="J118" s="164">
        <f t="shared" si="23"/>
        <v>997129.6875</v>
      </c>
      <c r="K118" s="164">
        <f t="shared" si="24"/>
        <v>309110.203125</v>
      </c>
      <c r="L118" s="164">
        <v>0</v>
      </c>
      <c r="M118" s="164">
        <f t="shared" si="25"/>
        <v>1306239.890625</v>
      </c>
      <c r="N118" s="149">
        <v>0</v>
      </c>
      <c r="O118" s="149">
        <f t="shared" si="17"/>
        <v>1306239.890625</v>
      </c>
    </row>
    <row r="119" spans="1:15" ht="13.5" customHeight="1" x14ac:dyDescent="0.35">
      <c r="A119" s="170">
        <v>4003</v>
      </c>
      <c r="B119" s="170" t="s">
        <v>313</v>
      </c>
      <c r="C119" s="167">
        <v>267</v>
      </c>
      <c r="D119" s="169">
        <v>0.25</v>
      </c>
      <c r="E119" s="166">
        <f t="shared" si="26"/>
        <v>12.5025</v>
      </c>
      <c r="F119" s="166">
        <f t="shared" si="19"/>
        <v>1.9996000799840034E-2</v>
      </c>
      <c r="G119" s="166">
        <f t="shared" si="20"/>
        <v>21.355728854229156</v>
      </c>
      <c r="H119" s="166">
        <f t="shared" si="21"/>
        <v>21.375724855028995</v>
      </c>
      <c r="I119" s="164">
        <f t="shared" si="22"/>
        <v>62565</v>
      </c>
      <c r="J119" s="164">
        <f t="shared" si="23"/>
        <v>1337372.2255548891</v>
      </c>
      <c r="K119" s="164">
        <f t="shared" si="24"/>
        <v>414585.3899220156</v>
      </c>
      <c r="L119" s="164">
        <v>0</v>
      </c>
      <c r="M119" s="164">
        <f t="shared" si="25"/>
        <v>1751957.6154769047</v>
      </c>
      <c r="N119" s="149">
        <v>0</v>
      </c>
      <c r="O119" s="149">
        <f t="shared" si="17"/>
        <v>1751957.6154769047</v>
      </c>
    </row>
    <row r="120" spans="1:15" ht="13.5" customHeight="1" x14ac:dyDescent="0.35">
      <c r="A120" s="170">
        <v>62005</v>
      </c>
      <c r="B120" s="170" t="s">
        <v>371</v>
      </c>
      <c r="C120" s="167">
        <v>193</v>
      </c>
      <c r="D120" s="169">
        <v>0</v>
      </c>
      <c r="E120" s="166">
        <f t="shared" si="26"/>
        <v>12</v>
      </c>
      <c r="F120" s="166">
        <f t="shared" si="19"/>
        <v>0</v>
      </c>
      <c r="G120" s="166">
        <f t="shared" si="20"/>
        <v>16.083333333333332</v>
      </c>
      <c r="H120" s="166">
        <f t="shared" si="21"/>
        <v>16.083333333333332</v>
      </c>
      <c r="I120" s="164">
        <f t="shared" si="22"/>
        <v>62565</v>
      </c>
      <c r="J120" s="164">
        <f t="shared" si="23"/>
        <v>1006253.7499999999</v>
      </c>
      <c r="K120" s="164">
        <f t="shared" si="24"/>
        <v>311938.66249999998</v>
      </c>
      <c r="L120" s="164">
        <v>0</v>
      </c>
      <c r="M120" s="164">
        <f t="shared" si="25"/>
        <v>1318192.4124999999</v>
      </c>
      <c r="N120" s="149">
        <v>0</v>
      </c>
      <c r="O120" s="149">
        <f t="shared" si="17"/>
        <v>1318192.4124999999</v>
      </c>
    </row>
    <row r="121" spans="1:15" ht="13.5" customHeight="1" x14ac:dyDescent="0.35">
      <c r="A121" s="170">
        <v>49005</v>
      </c>
      <c r="B121" s="170" t="s">
        <v>315</v>
      </c>
      <c r="C121" s="167">
        <v>23744.41</v>
      </c>
      <c r="D121" s="169">
        <v>287.75</v>
      </c>
      <c r="E121" s="166">
        <f t="shared" si="26"/>
        <v>15</v>
      </c>
      <c r="F121" s="166">
        <f t="shared" si="19"/>
        <v>19.183333333333334</v>
      </c>
      <c r="G121" s="166">
        <f t="shared" si="20"/>
        <v>1582.9606666666666</v>
      </c>
      <c r="H121" s="166">
        <f t="shared" si="21"/>
        <v>1602.144</v>
      </c>
      <c r="I121" s="164">
        <f t="shared" si="22"/>
        <v>62565</v>
      </c>
      <c r="J121" s="164">
        <f t="shared" si="23"/>
        <v>100238139.36</v>
      </c>
      <c r="K121" s="164">
        <f t="shared" si="24"/>
        <v>31073823.2016</v>
      </c>
      <c r="L121" s="164">
        <v>36816</v>
      </c>
      <c r="M121" s="164">
        <f t="shared" si="25"/>
        <v>131348778.5616</v>
      </c>
      <c r="N121" s="149">
        <v>0</v>
      </c>
      <c r="O121" s="149">
        <f t="shared" si="17"/>
        <v>131348778.5616</v>
      </c>
    </row>
    <row r="122" spans="1:15" ht="13.5" customHeight="1" x14ac:dyDescent="0.35">
      <c r="A122" s="170">
        <v>5005</v>
      </c>
      <c r="B122" s="170" t="s">
        <v>316</v>
      </c>
      <c r="C122" s="167">
        <v>674.85</v>
      </c>
      <c r="D122" s="169">
        <v>1.75</v>
      </c>
      <c r="E122" s="166">
        <f t="shared" si="26"/>
        <v>15</v>
      </c>
      <c r="F122" s="166">
        <f t="shared" si="19"/>
        <v>0.11666666666666667</v>
      </c>
      <c r="G122" s="166">
        <f t="shared" si="20"/>
        <v>44.99</v>
      </c>
      <c r="H122" s="166">
        <f t="shared" si="21"/>
        <v>45.106666666666669</v>
      </c>
      <c r="I122" s="164">
        <f t="shared" si="22"/>
        <v>62565</v>
      </c>
      <c r="J122" s="164">
        <f t="shared" si="23"/>
        <v>2822098.6</v>
      </c>
      <c r="K122" s="164">
        <f t="shared" si="24"/>
        <v>874850.56599999999</v>
      </c>
      <c r="L122" s="164">
        <v>0</v>
      </c>
      <c r="M122" s="164">
        <f t="shared" si="25"/>
        <v>3696949.1660000002</v>
      </c>
      <c r="N122" s="149">
        <v>0</v>
      </c>
      <c r="O122" s="149">
        <f t="shared" si="17"/>
        <v>3696949.1660000002</v>
      </c>
    </row>
    <row r="123" spans="1:15" ht="13.5" customHeight="1" x14ac:dyDescent="0.35">
      <c r="A123" s="170">
        <v>54002</v>
      </c>
      <c r="B123" s="170" t="s">
        <v>317</v>
      </c>
      <c r="C123" s="167">
        <v>894</v>
      </c>
      <c r="D123" s="169">
        <v>4.25</v>
      </c>
      <c r="E123" s="166">
        <f t="shared" si="26"/>
        <v>15</v>
      </c>
      <c r="F123" s="166">
        <f t="shared" si="19"/>
        <v>0.28333333333333333</v>
      </c>
      <c r="G123" s="166">
        <f t="shared" si="20"/>
        <v>59.6</v>
      </c>
      <c r="H123" s="166">
        <f t="shared" si="21"/>
        <v>59.883333333333333</v>
      </c>
      <c r="I123" s="164">
        <f t="shared" si="22"/>
        <v>62565</v>
      </c>
      <c r="J123" s="164">
        <f t="shared" si="23"/>
        <v>3746600.75</v>
      </c>
      <c r="K123" s="164">
        <f t="shared" si="24"/>
        <v>1161446.2324999999</v>
      </c>
      <c r="L123" s="164">
        <v>0</v>
      </c>
      <c r="M123" s="164">
        <f t="shared" si="25"/>
        <v>4908046.9824999999</v>
      </c>
      <c r="N123" s="149">
        <v>0</v>
      </c>
      <c r="O123" s="149">
        <f t="shared" si="17"/>
        <v>4908046.9824999999</v>
      </c>
    </row>
    <row r="124" spans="1:15" ht="13.5" customHeight="1" x14ac:dyDescent="0.35">
      <c r="A124" s="170">
        <v>15003</v>
      </c>
      <c r="B124" s="170" t="s">
        <v>318</v>
      </c>
      <c r="C124" s="167">
        <v>173</v>
      </c>
      <c r="D124" s="169">
        <v>1.25</v>
      </c>
      <c r="E124" s="166">
        <f t="shared" si="26"/>
        <v>12</v>
      </c>
      <c r="F124" s="166">
        <f t="shared" si="19"/>
        <v>0.10416666666666667</v>
      </c>
      <c r="G124" s="166">
        <f t="shared" si="20"/>
        <v>14.416666666666666</v>
      </c>
      <c r="H124" s="166">
        <f t="shared" si="21"/>
        <v>14.520833333333332</v>
      </c>
      <c r="I124" s="164">
        <f t="shared" si="22"/>
        <v>62565</v>
      </c>
      <c r="J124" s="164">
        <f t="shared" si="23"/>
        <v>908495.93749999988</v>
      </c>
      <c r="K124" s="164">
        <f t="shared" si="24"/>
        <v>281633.74062499998</v>
      </c>
      <c r="L124" s="164">
        <v>0</v>
      </c>
      <c r="M124" s="164">
        <f t="shared" si="25"/>
        <v>1190129.6781249999</v>
      </c>
      <c r="N124" s="149">
        <v>0</v>
      </c>
      <c r="O124" s="149">
        <f t="shared" si="17"/>
        <v>1190129.6781249999</v>
      </c>
    </row>
    <row r="125" spans="1:15" ht="13.5" customHeight="1" x14ac:dyDescent="0.35">
      <c r="A125" s="170">
        <v>26005</v>
      </c>
      <c r="B125" s="170" t="s">
        <v>319</v>
      </c>
      <c r="C125" s="167">
        <v>97</v>
      </c>
      <c r="D125" s="169">
        <v>0</v>
      </c>
      <c r="E125" s="166">
        <f t="shared" si="26"/>
        <v>12</v>
      </c>
      <c r="F125" s="166">
        <f t="shared" si="19"/>
        <v>0</v>
      </c>
      <c r="G125" s="166">
        <f t="shared" si="20"/>
        <v>8.0833333333333339</v>
      </c>
      <c r="H125" s="166">
        <f t="shared" si="21"/>
        <v>8.0833333333333339</v>
      </c>
      <c r="I125" s="164">
        <f t="shared" si="22"/>
        <v>62565</v>
      </c>
      <c r="J125" s="164">
        <f t="shared" si="23"/>
        <v>505733.75000000006</v>
      </c>
      <c r="K125" s="164">
        <f t="shared" si="24"/>
        <v>156777.46250000002</v>
      </c>
      <c r="L125" s="164">
        <v>0</v>
      </c>
      <c r="M125" s="164">
        <f t="shared" si="25"/>
        <v>662511.21250000014</v>
      </c>
      <c r="N125" s="149">
        <v>0</v>
      </c>
      <c r="O125" s="149">
        <f t="shared" si="17"/>
        <v>662511.21250000014</v>
      </c>
    </row>
    <row r="126" spans="1:15" ht="13.5" customHeight="1" x14ac:dyDescent="0.35">
      <c r="A126" s="170">
        <v>40002</v>
      </c>
      <c r="B126" s="170" t="s">
        <v>320</v>
      </c>
      <c r="C126" s="167">
        <v>2327.85</v>
      </c>
      <c r="D126" s="169">
        <v>1.5</v>
      </c>
      <c r="E126" s="166">
        <f t="shared" si="26"/>
        <v>15</v>
      </c>
      <c r="F126" s="166">
        <f t="shared" si="19"/>
        <v>0.1</v>
      </c>
      <c r="G126" s="166">
        <f t="shared" si="20"/>
        <v>155.19</v>
      </c>
      <c r="H126" s="166">
        <f t="shared" si="21"/>
        <v>155.29</v>
      </c>
      <c r="I126" s="164">
        <f t="shared" si="22"/>
        <v>62565</v>
      </c>
      <c r="J126" s="164">
        <f t="shared" si="23"/>
        <v>9715718.8499999996</v>
      </c>
      <c r="K126" s="164">
        <f t="shared" si="24"/>
        <v>3011872.8435</v>
      </c>
      <c r="L126" s="164">
        <v>0</v>
      </c>
      <c r="M126" s="164">
        <f t="shared" si="25"/>
        <v>12727591.693499999</v>
      </c>
      <c r="N126" s="149">
        <v>0</v>
      </c>
      <c r="O126" s="149">
        <f t="shared" si="17"/>
        <v>12727591.693499999</v>
      </c>
    </row>
    <row r="127" spans="1:15" ht="13.5" customHeight="1" x14ac:dyDescent="0.35">
      <c r="A127" s="170">
        <v>57001</v>
      </c>
      <c r="B127" s="170" t="s">
        <v>321</v>
      </c>
      <c r="C127" s="167">
        <v>436</v>
      </c>
      <c r="D127" s="169">
        <v>0</v>
      </c>
      <c r="E127" s="166">
        <f t="shared" si="26"/>
        <v>13.77</v>
      </c>
      <c r="F127" s="166">
        <f t="shared" si="19"/>
        <v>0</v>
      </c>
      <c r="G127" s="166">
        <f t="shared" si="20"/>
        <v>31.663035584604213</v>
      </c>
      <c r="H127" s="166">
        <f t="shared" si="21"/>
        <v>31.663035584604213</v>
      </c>
      <c r="I127" s="164">
        <f t="shared" si="22"/>
        <v>62565</v>
      </c>
      <c r="J127" s="164">
        <f t="shared" si="23"/>
        <v>1980997.8213507626</v>
      </c>
      <c r="K127" s="164">
        <f t="shared" si="24"/>
        <v>614109.3246187364</v>
      </c>
      <c r="L127" s="164">
        <v>0</v>
      </c>
      <c r="M127" s="164">
        <f t="shared" si="25"/>
        <v>2595107.1459694989</v>
      </c>
      <c r="N127" s="149">
        <v>0</v>
      </c>
      <c r="O127" s="149">
        <f t="shared" si="17"/>
        <v>2595107.1459694989</v>
      </c>
    </row>
    <row r="128" spans="1:15" ht="13.5" customHeight="1" x14ac:dyDescent="0.35">
      <c r="A128" s="170">
        <v>54006</v>
      </c>
      <c r="B128" s="170" t="s">
        <v>322</v>
      </c>
      <c r="C128" s="167">
        <v>143</v>
      </c>
      <c r="D128" s="169">
        <v>1.5</v>
      </c>
      <c r="E128" s="166">
        <f t="shared" si="26"/>
        <v>12</v>
      </c>
      <c r="F128" s="166">
        <f t="shared" si="19"/>
        <v>0.125</v>
      </c>
      <c r="G128" s="166">
        <f t="shared" si="20"/>
        <v>11.916666666666666</v>
      </c>
      <c r="H128" s="166">
        <f t="shared" si="21"/>
        <v>12.041666666666666</v>
      </c>
      <c r="I128" s="164">
        <f t="shared" si="22"/>
        <v>62565</v>
      </c>
      <c r="J128" s="164">
        <f t="shared" si="23"/>
        <v>753386.875</v>
      </c>
      <c r="K128" s="164">
        <f t="shared" si="24"/>
        <v>233549.93124999999</v>
      </c>
      <c r="L128" s="164">
        <v>0</v>
      </c>
      <c r="M128" s="164">
        <f t="shared" si="25"/>
        <v>986936.80625000002</v>
      </c>
      <c r="N128" s="149">
        <v>0</v>
      </c>
      <c r="O128" s="149">
        <f t="shared" si="17"/>
        <v>986936.80625000002</v>
      </c>
    </row>
    <row r="129" spans="1:15" ht="13.5" customHeight="1" x14ac:dyDescent="0.35">
      <c r="A129" s="170">
        <v>41005</v>
      </c>
      <c r="B129" s="170" t="s">
        <v>323</v>
      </c>
      <c r="C129" s="167">
        <v>1709.51</v>
      </c>
      <c r="D129" s="169">
        <v>2</v>
      </c>
      <c r="E129" s="166">
        <f t="shared" si="26"/>
        <v>15</v>
      </c>
      <c r="F129" s="166">
        <f t="shared" si="19"/>
        <v>0.13333333333333333</v>
      </c>
      <c r="G129" s="166">
        <f t="shared" si="20"/>
        <v>113.96733333333333</v>
      </c>
      <c r="H129" s="166">
        <f t="shared" si="21"/>
        <v>114.10066666666667</v>
      </c>
      <c r="I129" s="164">
        <f t="shared" si="22"/>
        <v>62565</v>
      </c>
      <c r="J129" s="164">
        <f t="shared" si="23"/>
        <v>7138708.21</v>
      </c>
      <c r="K129" s="164">
        <f t="shared" si="24"/>
        <v>2212999.5450999998</v>
      </c>
      <c r="L129" s="164">
        <v>0</v>
      </c>
      <c r="M129" s="164">
        <f t="shared" si="25"/>
        <v>9351707.7551000006</v>
      </c>
      <c r="N129" s="149">
        <v>0</v>
      </c>
      <c r="O129" s="149">
        <f t="shared" si="17"/>
        <v>9351707.7551000006</v>
      </c>
    </row>
    <row r="130" spans="1:15" ht="13.5" customHeight="1" x14ac:dyDescent="0.35">
      <c r="A130" s="170">
        <v>20003</v>
      </c>
      <c r="B130" s="170" t="s">
        <v>324</v>
      </c>
      <c r="C130" s="167">
        <v>339</v>
      </c>
      <c r="D130" s="169">
        <v>0</v>
      </c>
      <c r="E130" s="166">
        <f t="shared" si="26"/>
        <v>13.0425</v>
      </c>
      <c r="F130" s="166">
        <f t="shared" si="19"/>
        <v>0</v>
      </c>
      <c r="G130" s="166">
        <f t="shared" si="20"/>
        <v>25.991949396204713</v>
      </c>
      <c r="H130" s="166">
        <f t="shared" si="21"/>
        <v>25.991949396204713</v>
      </c>
      <c r="I130" s="164">
        <f t="shared" si="22"/>
        <v>62565</v>
      </c>
      <c r="J130" s="164">
        <f t="shared" si="23"/>
        <v>1626186.3139735479</v>
      </c>
      <c r="K130" s="164">
        <f t="shared" si="24"/>
        <v>504117.75733179983</v>
      </c>
      <c r="L130" s="164">
        <v>0</v>
      </c>
      <c r="M130" s="164">
        <f t="shared" si="25"/>
        <v>2130304.0713053476</v>
      </c>
      <c r="N130" s="149">
        <v>0</v>
      </c>
      <c r="O130" s="149">
        <f t="shared" si="17"/>
        <v>2130304.0713053476</v>
      </c>
    </row>
    <row r="131" spans="1:15" ht="13.5" customHeight="1" x14ac:dyDescent="0.35">
      <c r="A131" s="170">
        <v>66001</v>
      </c>
      <c r="B131" s="170" t="s">
        <v>325</v>
      </c>
      <c r="C131" s="167">
        <v>2042.31</v>
      </c>
      <c r="D131" s="169">
        <v>3</v>
      </c>
      <c r="E131" s="166">
        <f t="shared" si="26"/>
        <v>15</v>
      </c>
      <c r="F131" s="166">
        <f t="shared" si="19"/>
        <v>0.2</v>
      </c>
      <c r="G131" s="166">
        <f t="shared" si="20"/>
        <v>136.154</v>
      </c>
      <c r="H131" s="166">
        <f t="shared" si="21"/>
        <v>136.35399999999998</v>
      </c>
      <c r="I131" s="164">
        <f t="shared" si="22"/>
        <v>62565</v>
      </c>
      <c r="J131" s="164">
        <f t="shared" si="23"/>
        <v>8530988.0099999998</v>
      </c>
      <c r="K131" s="164">
        <f t="shared" si="24"/>
        <v>2644606.2831000001</v>
      </c>
      <c r="L131" s="164">
        <v>8032</v>
      </c>
      <c r="M131" s="164">
        <f t="shared" si="25"/>
        <v>11183626.293099999</v>
      </c>
      <c r="N131" s="149">
        <v>0</v>
      </c>
      <c r="O131" s="149">
        <f t="shared" ref="O131:O152" si="27">IF(N131&gt;0,N131,M131)</f>
        <v>11183626.293099999</v>
      </c>
    </row>
    <row r="132" spans="1:15" ht="13.5" customHeight="1" x14ac:dyDescent="0.35">
      <c r="A132" s="170">
        <v>33005</v>
      </c>
      <c r="B132" s="170" t="s">
        <v>326</v>
      </c>
      <c r="C132" s="167">
        <v>151</v>
      </c>
      <c r="D132" s="169">
        <v>1</v>
      </c>
      <c r="E132" s="166">
        <f t="shared" si="26"/>
        <v>12</v>
      </c>
      <c r="F132" s="166">
        <f t="shared" si="19"/>
        <v>8.3333333333333329E-2</v>
      </c>
      <c r="G132" s="166">
        <f t="shared" si="20"/>
        <v>12.583333333333334</v>
      </c>
      <c r="H132" s="166">
        <f t="shared" si="21"/>
        <v>12.666666666666668</v>
      </c>
      <c r="I132" s="164">
        <f t="shared" si="22"/>
        <v>62565</v>
      </c>
      <c r="J132" s="164">
        <f t="shared" si="23"/>
        <v>792490.00000000012</v>
      </c>
      <c r="K132" s="164">
        <f t="shared" si="24"/>
        <v>245671.90000000002</v>
      </c>
      <c r="L132" s="164">
        <v>0</v>
      </c>
      <c r="M132" s="164">
        <f t="shared" si="25"/>
        <v>1038161.9000000001</v>
      </c>
      <c r="N132" s="149">
        <v>0</v>
      </c>
      <c r="O132" s="149">
        <f t="shared" si="27"/>
        <v>1038161.9000000001</v>
      </c>
    </row>
    <row r="133" spans="1:15" ht="13.5" customHeight="1" x14ac:dyDescent="0.35">
      <c r="A133" s="170">
        <v>49006</v>
      </c>
      <c r="B133" s="170" t="s">
        <v>327</v>
      </c>
      <c r="C133" s="167">
        <v>908</v>
      </c>
      <c r="D133" s="169">
        <v>3</v>
      </c>
      <c r="E133" s="166">
        <f t="shared" si="26"/>
        <v>15</v>
      </c>
      <c r="F133" s="166">
        <f t="shared" si="19"/>
        <v>0.2</v>
      </c>
      <c r="G133" s="166">
        <f t="shared" si="20"/>
        <v>60.533333333333331</v>
      </c>
      <c r="H133" s="166">
        <f t="shared" si="21"/>
        <v>60.733333333333334</v>
      </c>
      <c r="I133" s="164">
        <f t="shared" si="22"/>
        <v>62565</v>
      </c>
      <c r="J133" s="164">
        <f t="shared" si="23"/>
        <v>3799781</v>
      </c>
      <c r="K133" s="164">
        <f t="shared" si="24"/>
        <v>1177932.1100000001</v>
      </c>
      <c r="L133" s="164">
        <v>0</v>
      </c>
      <c r="M133" s="164">
        <f t="shared" si="25"/>
        <v>4977713.1100000003</v>
      </c>
      <c r="N133" s="149">
        <v>0</v>
      </c>
      <c r="O133" s="149">
        <f t="shared" si="27"/>
        <v>4977713.1100000003</v>
      </c>
    </row>
    <row r="134" spans="1:15" ht="13.5" customHeight="1" x14ac:dyDescent="0.35">
      <c r="A134" s="170">
        <v>13001</v>
      </c>
      <c r="B134" s="170" t="s">
        <v>328</v>
      </c>
      <c r="C134" s="167">
        <v>1202.3399999999999</v>
      </c>
      <c r="D134" s="169">
        <v>1.25</v>
      </c>
      <c r="E134" s="166">
        <f t="shared" si="26"/>
        <v>15</v>
      </c>
      <c r="F134" s="166">
        <f t="shared" si="19"/>
        <v>8.3333333333333329E-2</v>
      </c>
      <c r="G134" s="166">
        <f t="shared" si="20"/>
        <v>80.155999999999992</v>
      </c>
      <c r="H134" s="166">
        <f t="shared" si="21"/>
        <v>80.23933333333332</v>
      </c>
      <c r="I134" s="164">
        <f t="shared" si="22"/>
        <v>62565</v>
      </c>
      <c r="J134" s="164">
        <f t="shared" si="23"/>
        <v>5020173.8899999987</v>
      </c>
      <c r="K134" s="164">
        <f t="shared" si="24"/>
        <v>1556253.9058999997</v>
      </c>
      <c r="L134" s="164">
        <v>0</v>
      </c>
      <c r="M134" s="164">
        <f t="shared" si="25"/>
        <v>6576427.7958999984</v>
      </c>
      <c r="N134" s="149">
        <v>0</v>
      </c>
      <c r="O134" s="149">
        <f t="shared" si="27"/>
        <v>6576427.7958999984</v>
      </c>
    </row>
    <row r="135" spans="1:15" ht="13.5" customHeight="1" x14ac:dyDescent="0.35">
      <c r="A135" s="170">
        <v>60006</v>
      </c>
      <c r="B135" s="170" t="s">
        <v>329</v>
      </c>
      <c r="C135" s="167">
        <v>354</v>
      </c>
      <c r="D135" s="169">
        <v>2.25</v>
      </c>
      <c r="E135" s="166">
        <f t="shared" si="26"/>
        <v>13.154999999999999</v>
      </c>
      <c r="F135" s="166">
        <f t="shared" si="19"/>
        <v>0.17103762827822122</v>
      </c>
      <c r="G135" s="166">
        <f t="shared" si="20"/>
        <v>26.909920182440139</v>
      </c>
      <c r="H135" s="166">
        <f t="shared" si="21"/>
        <v>27.08095781071836</v>
      </c>
      <c r="I135" s="164">
        <f t="shared" si="22"/>
        <v>62565</v>
      </c>
      <c r="J135" s="164">
        <f t="shared" si="23"/>
        <v>1694320.1254275942</v>
      </c>
      <c r="K135" s="164">
        <f t="shared" si="24"/>
        <v>525239.23888255423</v>
      </c>
      <c r="L135" s="164">
        <v>0</v>
      </c>
      <c r="M135" s="164">
        <f t="shared" si="25"/>
        <v>2219559.3643101482</v>
      </c>
      <c r="N135" s="149">
        <v>0</v>
      </c>
      <c r="O135" s="149">
        <f t="shared" si="27"/>
        <v>2219559.3643101482</v>
      </c>
    </row>
    <row r="136" spans="1:15" ht="13.5" customHeight="1" x14ac:dyDescent="0.35">
      <c r="A136" s="170">
        <v>11004</v>
      </c>
      <c r="B136" s="170" t="s">
        <v>369</v>
      </c>
      <c r="C136" s="167">
        <v>852.25</v>
      </c>
      <c r="D136" s="169">
        <v>0.75</v>
      </c>
      <c r="E136" s="166">
        <f t="shared" si="26"/>
        <v>15</v>
      </c>
      <c r="F136" s="166">
        <f t="shared" si="19"/>
        <v>0.05</v>
      </c>
      <c r="G136" s="166">
        <f t="shared" si="20"/>
        <v>56.81666666666667</v>
      </c>
      <c r="H136" s="166">
        <f t="shared" si="21"/>
        <v>56.866666666666667</v>
      </c>
      <c r="I136" s="164">
        <f t="shared" si="22"/>
        <v>62565</v>
      </c>
      <c r="J136" s="164">
        <f t="shared" si="23"/>
        <v>3557863</v>
      </c>
      <c r="K136" s="164">
        <f t="shared" si="24"/>
        <v>1102937.53</v>
      </c>
      <c r="L136" s="164">
        <v>0</v>
      </c>
      <c r="M136" s="164">
        <f t="shared" si="25"/>
        <v>4660800.53</v>
      </c>
      <c r="N136" s="149">
        <v>0</v>
      </c>
      <c r="O136" s="149">
        <f t="shared" si="27"/>
        <v>4660800.53</v>
      </c>
    </row>
    <row r="137" spans="1:15" ht="13.5" customHeight="1" x14ac:dyDescent="0.35">
      <c r="A137" s="170">
        <v>51005</v>
      </c>
      <c r="B137" s="170" t="s">
        <v>331</v>
      </c>
      <c r="C137" s="167">
        <v>245</v>
      </c>
      <c r="D137" s="169">
        <v>0</v>
      </c>
      <c r="E137" s="166">
        <f t="shared" si="26"/>
        <v>12.3375</v>
      </c>
      <c r="F137" s="166">
        <f t="shared" si="19"/>
        <v>0</v>
      </c>
      <c r="G137" s="166">
        <f t="shared" si="20"/>
        <v>19.858156028368793</v>
      </c>
      <c r="H137" s="166">
        <f t="shared" si="21"/>
        <v>19.858156028368793</v>
      </c>
      <c r="I137" s="164">
        <f t="shared" si="22"/>
        <v>62565</v>
      </c>
      <c r="J137" s="164">
        <f t="shared" si="23"/>
        <v>1242425.5319148935</v>
      </c>
      <c r="K137" s="164">
        <f t="shared" si="24"/>
        <v>385151.91489361698</v>
      </c>
      <c r="L137" s="164">
        <v>0</v>
      </c>
      <c r="M137" s="164">
        <f t="shared" si="25"/>
        <v>1627577.4468085105</v>
      </c>
      <c r="N137" s="149">
        <v>0</v>
      </c>
      <c r="O137" s="149">
        <f t="shared" si="27"/>
        <v>1627577.4468085105</v>
      </c>
    </row>
    <row r="138" spans="1:15" ht="13.5" customHeight="1" x14ac:dyDescent="0.35">
      <c r="A138" s="170">
        <v>6005</v>
      </c>
      <c r="B138" s="170" t="s">
        <v>332</v>
      </c>
      <c r="C138" s="167">
        <v>319</v>
      </c>
      <c r="D138" s="169">
        <v>0.25</v>
      </c>
      <c r="E138" s="166">
        <f t="shared" si="26"/>
        <v>12.8925</v>
      </c>
      <c r="F138" s="166">
        <f t="shared" si="19"/>
        <v>1.9391118867558659E-2</v>
      </c>
      <c r="G138" s="166">
        <f t="shared" si="20"/>
        <v>24.743067675004848</v>
      </c>
      <c r="H138" s="166">
        <f t="shared" si="21"/>
        <v>24.762458793872408</v>
      </c>
      <c r="I138" s="164">
        <f t="shared" si="22"/>
        <v>62565</v>
      </c>
      <c r="J138" s="164">
        <f t="shared" si="23"/>
        <v>1549263.2344386273</v>
      </c>
      <c r="K138" s="164">
        <f t="shared" si="24"/>
        <v>480271.60267597443</v>
      </c>
      <c r="L138" s="164">
        <v>0</v>
      </c>
      <c r="M138" s="164">
        <f t="shared" si="25"/>
        <v>2029534.8371146016</v>
      </c>
      <c r="N138" s="149">
        <v>0</v>
      </c>
      <c r="O138" s="149">
        <f t="shared" si="27"/>
        <v>2029534.8371146016</v>
      </c>
    </row>
    <row r="139" spans="1:15" ht="13.5" customHeight="1" x14ac:dyDescent="0.35">
      <c r="A139" s="170">
        <v>14004</v>
      </c>
      <c r="B139" s="170" t="s">
        <v>333</v>
      </c>
      <c r="C139" s="167">
        <v>3950.12</v>
      </c>
      <c r="D139" s="169">
        <v>3</v>
      </c>
      <c r="E139" s="166">
        <f t="shared" si="26"/>
        <v>15</v>
      </c>
      <c r="F139" s="166">
        <f t="shared" ref="F139:F144" si="28">D139/E139</f>
        <v>0.2</v>
      </c>
      <c r="G139" s="166">
        <f t="shared" ref="G139:G144" si="29">C139/E139</f>
        <v>263.34133333333335</v>
      </c>
      <c r="H139" s="166">
        <f t="shared" ref="H139:H144" si="30">G139+F139</f>
        <v>263.54133333333334</v>
      </c>
      <c r="I139" s="164">
        <f t="shared" ref="I139:I144" si="31">$I$1*1.29</f>
        <v>62565</v>
      </c>
      <c r="J139" s="164">
        <f t="shared" ref="J139:J144" si="32">H139*I139</f>
        <v>16488463.520000001</v>
      </c>
      <c r="K139" s="164">
        <f t="shared" ref="K139:K144" si="33">J139*0.31</f>
        <v>5111423.6912000002</v>
      </c>
      <c r="L139" s="164">
        <v>0</v>
      </c>
      <c r="M139" s="164">
        <f t="shared" ref="M139:M144" si="34">J139+K139+L139</f>
        <v>21599887.211200003</v>
      </c>
      <c r="N139" s="149">
        <v>0</v>
      </c>
      <c r="O139" s="149">
        <f t="shared" si="27"/>
        <v>21599887.211200003</v>
      </c>
    </row>
    <row r="140" spans="1:15" ht="13.5" customHeight="1" x14ac:dyDescent="0.35">
      <c r="A140" s="170">
        <v>18003</v>
      </c>
      <c r="B140" s="170" t="s">
        <v>334</v>
      </c>
      <c r="C140" s="167">
        <v>169</v>
      </c>
      <c r="D140" s="169">
        <v>0</v>
      </c>
      <c r="E140" s="166">
        <f t="shared" si="26"/>
        <v>12</v>
      </c>
      <c r="F140" s="166">
        <f t="shared" si="28"/>
        <v>0</v>
      </c>
      <c r="G140" s="166">
        <f t="shared" si="29"/>
        <v>14.083333333333334</v>
      </c>
      <c r="H140" s="166">
        <f t="shared" si="30"/>
        <v>14.083333333333334</v>
      </c>
      <c r="I140" s="164">
        <f t="shared" si="31"/>
        <v>62565</v>
      </c>
      <c r="J140" s="164">
        <f t="shared" si="32"/>
        <v>881123.75</v>
      </c>
      <c r="K140" s="164">
        <f t="shared" si="33"/>
        <v>273148.36249999999</v>
      </c>
      <c r="L140" s="164">
        <v>0</v>
      </c>
      <c r="M140" s="164">
        <f t="shared" si="34"/>
        <v>1154272.1125</v>
      </c>
      <c r="N140" s="149">
        <v>0</v>
      </c>
      <c r="O140" s="149">
        <f t="shared" si="27"/>
        <v>1154272.1125</v>
      </c>
    </row>
    <row r="141" spans="1:15" ht="13.5" customHeight="1" x14ac:dyDescent="0.35">
      <c r="A141" s="170">
        <v>14005</v>
      </c>
      <c r="B141" s="170" t="s">
        <v>335</v>
      </c>
      <c r="C141" s="167">
        <v>247</v>
      </c>
      <c r="D141" s="169">
        <v>0</v>
      </c>
      <c r="E141" s="166">
        <f t="shared" si="26"/>
        <v>12.352499999999999</v>
      </c>
      <c r="F141" s="166">
        <f t="shared" si="28"/>
        <v>0</v>
      </c>
      <c r="G141" s="166">
        <f t="shared" si="29"/>
        <v>19.995952236389396</v>
      </c>
      <c r="H141" s="166">
        <f t="shared" si="30"/>
        <v>19.995952236389396</v>
      </c>
      <c r="I141" s="164">
        <f t="shared" si="31"/>
        <v>62565</v>
      </c>
      <c r="J141" s="164">
        <f t="shared" si="32"/>
        <v>1251046.7516697026</v>
      </c>
      <c r="K141" s="164">
        <f t="shared" si="33"/>
        <v>387824.49301760778</v>
      </c>
      <c r="L141" s="164">
        <v>0</v>
      </c>
      <c r="M141" s="164">
        <f t="shared" si="34"/>
        <v>1638871.2446873104</v>
      </c>
      <c r="N141" s="149">
        <v>0</v>
      </c>
      <c r="O141" s="149">
        <f t="shared" si="27"/>
        <v>1638871.2446873104</v>
      </c>
    </row>
    <row r="142" spans="1:15" ht="13.5" customHeight="1" x14ac:dyDescent="0.35">
      <c r="A142" s="170">
        <v>18005</v>
      </c>
      <c r="B142" s="170" t="s">
        <v>336</v>
      </c>
      <c r="C142" s="167">
        <v>558</v>
      </c>
      <c r="D142" s="169">
        <v>0</v>
      </c>
      <c r="E142" s="166">
        <f t="shared" si="26"/>
        <v>14.684999999999999</v>
      </c>
      <c r="F142" s="166">
        <f t="shared" si="28"/>
        <v>0</v>
      </c>
      <c r="G142" s="166">
        <f t="shared" si="29"/>
        <v>37.997957099080701</v>
      </c>
      <c r="H142" s="166">
        <f t="shared" si="30"/>
        <v>37.997957099080701</v>
      </c>
      <c r="I142" s="164">
        <f t="shared" si="31"/>
        <v>62565</v>
      </c>
      <c r="J142" s="164">
        <f t="shared" si="32"/>
        <v>2377342.1859039841</v>
      </c>
      <c r="K142" s="164">
        <f t="shared" si="33"/>
        <v>736976.07763023512</v>
      </c>
      <c r="L142" s="164">
        <v>0</v>
      </c>
      <c r="M142" s="164">
        <f t="shared" si="34"/>
        <v>3114318.263534219</v>
      </c>
      <c r="N142" s="149">
        <v>0</v>
      </c>
      <c r="O142" s="149">
        <f t="shared" si="27"/>
        <v>3114318.263534219</v>
      </c>
    </row>
    <row r="143" spans="1:15" ht="13.5" customHeight="1" x14ac:dyDescent="0.35">
      <c r="A143" s="170">
        <v>36002</v>
      </c>
      <c r="B143" s="170" t="s">
        <v>337</v>
      </c>
      <c r="C143" s="167">
        <v>328</v>
      </c>
      <c r="D143" s="169">
        <v>4.25</v>
      </c>
      <c r="E143" s="166">
        <f t="shared" si="26"/>
        <v>12.96</v>
      </c>
      <c r="F143" s="166">
        <f t="shared" si="28"/>
        <v>0.32793209876543206</v>
      </c>
      <c r="G143" s="166">
        <f t="shared" si="29"/>
        <v>25.308641975308639</v>
      </c>
      <c r="H143" s="166">
        <f t="shared" si="30"/>
        <v>25.636574074074073</v>
      </c>
      <c r="I143" s="164">
        <f t="shared" si="31"/>
        <v>62565</v>
      </c>
      <c r="J143" s="164">
        <f t="shared" si="32"/>
        <v>1603952.2569444443</v>
      </c>
      <c r="K143" s="164">
        <f t="shared" si="33"/>
        <v>497225.19965277769</v>
      </c>
      <c r="L143" s="164">
        <v>0</v>
      </c>
      <c r="M143" s="164">
        <f t="shared" si="34"/>
        <v>2101177.456597222</v>
      </c>
      <c r="N143" s="149">
        <v>0</v>
      </c>
      <c r="O143" s="149">
        <f t="shared" si="27"/>
        <v>2101177.456597222</v>
      </c>
    </row>
    <row r="144" spans="1:15" ht="13.5" customHeight="1" x14ac:dyDescent="0.35">
      <c r="A144" s="170">
        <v>49007</v>
      </c>
      <c r="B144" s="170" t="s">
        <v>338</v>
      </c>
      <c r="C144" s="167">
        <v>1372.56</v>
      </c>
      <c r="D144" s="169">
        <v>1</v>
      </c>
      <c r="E144" s="166">
        <f t="shared" si="26"/>
        <v>15</v>
      </c>
      <c r="F144" s="166">
        <f t="shared" si="28"/>
        <v>6.6666666666666666E-2</v>
      </c>
      <c r="G144" s="166">
        <f t="shared" si="29"/>
        <v>91.503999999999991</v>
      </c>
      <c r="H144" s="166">
        <f t="shared" si="30"/>
        <v>91.570666666666654</v>
      </c>
      <c r="I144" s="164">
        <f t="shared" si="31"/>
        <v>62565</v>
      </c>
      <c r="J144" s="164">
        <f t="shared" si="32"/>
        <v>5729118.7599999988</v>
      </c>
      <c r="K144" s="164">
        <f t="shared" si="33"/>
        <v>1776026.8155999996</v>
      </c>
      <c r="L144" s="164">
        <v>0</v>
      </c>
      <c r="M144" s="164">
        <f t="shared" si="34"/>
        <v>7505145.5755999982</v>
      </c>
      <c r="N144" s="149">
        <v>0</v>
      </c>
      <c r="O144" s="149">
        <f t="shared" si="27"/>
        <v>7505145.5755999982</v>
      </c>
    </row>
    <row r="145" spans="1:15" ht="13.5" customHeight="1" x14ac:dyDescent="0.35">
      <c r="A145" s="170">
        <v>1003</v>
      </c>
      <c r="B145" s="170" t="s">
        <v>339</v>
      </c>
      <c r="C145" s="167">
        <v>110</v>
      </c>
      <c r="D145" s="319"/>
      <c r="E145" s="320"/>
      <c r="F145" s="320"/>
      <c r="G145" s="320"/>
      <c r="H145" s="320"/>
      <c r="I145" s="321"/>
      <c r="J145" s="321"/>
      <c r="K145" s="321"/>
      <c r="L145" s="321"/>
      <c r="M145" s="321"/>
      <c r="N145" s="149">
        <v>881232.25</v>
      </c>
      <c r="O145" s="149">
        <f t="shared" si="27"/>
        <v>881232.25</v>
      </c>
    </row>
    <row r="146" spans="1:15" ht="13.5" customHeight="1" x14ac:dyDescent="0.35">
      <c r="A146" s="170">
        <v>47001</v>
      </c>
      <c r="B146" s="170" t="s">
        <v>340</v>
      </c>
      <c r="C146" s="167">
        <v>418</v>
      </c>
      <c r="D146" s="169">
        <v>0.25</v>
      </c>
      <c r="E146" s="166">
        <f t="shared" ref="E146:E152" si="35">IF(C146&lt;200,12,IF(C146&gt;600,15,(C146*0.0075)+10.5))</f>
        <v>13.635</v>
      </c>
      <c r="F146" s="166">
        <f t="shared" ref="F146:F152" si="36">D146/E146</f>
        <v>1.8335166850018337E-2</v>
      </c>
      <c r="G146" s="166">
        <f t="shared" ref="G146:G152" si="37">C146/E146</f>
        <v>30.656398973230658</v>
      </c>
      <c r="H146" s="166">
        <f t="shared" ref="H146:H152" si="38">G146+F146</f>
        <v>30.674734140080677</v>
      </c>
      <c r="I146" s="164">
        <f t="shared" ref="I146:I152" si="39">$I$1*1.29</f>
        <v>62565</v>
      </c>
      <c r="J146" s="164">
        <f t="shared" ref="J146:J152" si="40">H146*I146</f>
        <v>1919164.7414741477</v>
      </c>
      <c r="K146" s="164">
        <f t="shared" ref="K146:K152" si="41">J146*0.31</f>
        <v>594941.06985698582</v>
      </c>
      <c r="L146" s="164">
        <v>0</v>
      </c>
      <c r="M146" s="164">
        <f t="shared" ref="M146:M152" si="42">J146+K146+L146</f>
        <v>2514105.8113311334</v>
      </c>
      <c r="N146" s="149">
        <v>0</v>
      </c>
      <c r="O146" s="149">
        <f t="shared" si="27"/>
        <v>2514105.8113311334</v>
      </c>
    </row>
    <row r="147" spans="1:15" ht="13.5" customHeight="1" x14ac:dyDescent="0.35">
      <c r="A147" s="170">
        <v>12003</v>
      </c>
      <c r="B147" s="170" t="s">
        <v>341</v>
      </c>
      <c r="C147" s="167">
        <v>222</v>
      </c>
      <c r="D147" s="169">
        <v>5.5</v>
      </c>
      <c r="E147" s="166">
        <f t="shared" si="35"/>
        <v>12.164999999999999</v>
      </c>
      <c r="F147" s="166">
        <f t="shared" si="36"/>
        <v>0.45211672831894784</v>
      </c>
      <c r="G147" s="166">
        <f t="shared" si="37"/>
        <v>18.249075215782984</v>
      </c>
      <c r="H147" s="166">
        <f t="shared" si="38"/>
        <v>18.701191944101932</v>
      </c>
      <c r="I147" s="164">
        <f t="shared" si="39"/>
        <v>62565</v>
      </c>
      <c r="J147" s="164">
        <f t="shared" si="40"/>
        <v>1170040.0739827375</v>
      </c>
      <c r="K147" s="164">
        <f t="shared" si="41"/>
        <v>362712.42293464864</v>
      </c>
      <c r="L147" s="164">
        <v>0</v>
      </c>
      <c r="M147" s="164">
        <f t="shared" si="42"/>
        <v>1532752.4969173861</v>
      </c>
      <c r="N147" s="149">
        <v>0</v>
      </c>
      <c r="O147" s="149">
        <f t="shared" si="27"/>
        <v>1532752.4969173861</v>
      </c>
    </row>
    <row r="148" spans="1:15" ht="13.5" customHeight="1" x14ac:dyDescent="0.35">
      <c r="A148" s="170">
        <v>54007</v>
      </c>
      <c r="B148" s="170" t="s">
        <v>342</v>
      </c>
      <c r="C148" s="167">
        <v>200</v>
      </c>
      <c r="D148" s="169">
        <v>0</v>
      </c>
      <c r="E148" s="166">
        <f t="shared" si="35"/>
        <v>12</v>
      </c>
      <c r="F148" s="166">
        <f t="shared" si="36"/>
        <v>0</v>
      </c>
      <c r="G148" s="166">
        <f t="shared" si="37"/>
        <v>16.666666666666668</v>
      </c>
      <c r="H148" s="166">
        <f t="shared" si="38"/>
        <v>16.666666666666668</v>
      </c>
      <c r="I148" s="164">
        <f t="shared" si="39"/>
        <v>62565</v>
      </c>
      <c r="J148" s="164">
        <f t="shared" si="40"/>
        <v>1042750.0000000001</v>
      </c>
      <c r="K148" s="164">
        <f t="shared" si="41"/>
        <v>323252.50000000006</v>
      </c>
      <c r="L148" s="164">
        <v>0</v>
      </c>
      <c r="M148" s="164">
        <f t="shared" si="42"/>
        <v>1366002.5000000002</v>
      </c>
      <c r="N148" s="149">
        <v>0</v>
      </c>
      <c r="O148" s="149">
        <f t="shared" si="27"/>
        <v>1366002.5000000002</v>
      </c>
    </row>
    <row r="149" spans="1:15" ht="13.5" customHeight="1" x14ac:dyDescent="0.35">
      <c r="A149" s="170">
        <v>59002</v>
      </c>
      <c r="B149" s="170" t="s">
        <v>343</v>
      </c>
      <c r="C149" s="167">
        <v>708</v>
      </c>
      <c r="D149" s="169">
        <v>0</v>
      </c>
      <c r="E149" s="166">
        <f t="shared" si="35"/>
        <v>15</v>
      </c>
      <c r="F149" s="166">
        <f t="shared" si="36"/>
        <v>0</v>
      </c>
      <c r="G149" s="166">
        <f t="shared" si="37"/>
        <v>47.2</v>
      </c>
      <c r="H149" s="166">
        <f t="shared" si="38"/>
        <v>47.2</v>
      </c>
      <c r="I149" s="164">
        <f t="shared" si="39"/>
        <v>62565</v>
      </c>
      <c r="J149" s="164">
        <f t="shared" si="40"/>
        <v>2953068</v>
      </c>
      <c r="K149" s="164">
        <f t="shared" si="41"/>
        <v>915451.08</v>
      </c>
      <c r="L149" s="164">
        <v>0</v>
      </c>
      <c r="M149" s="164">
        <f t="shared" si="42"/>
        <v>3868519.08</v>
      </c>
      <c r="N149" s="149">
        <v>0</v>
      </c>
      <c r="O149" s="149">
        <f t="shared" si="27"/>
        <v>3868519.08</v>
      </c>
    </row>
    <row r="150" spans="1:15" ht="13.5" customHeight="1" x14ac:dyDescent="0.35">
      <c r="A150" s="171">
        <v>2006</v>
      </c>
      <c r="B150" s="170" t="s">
        <v>344</v>
      </c>
      <c r="C150" s="167">
        <v>357</v>
      </c>
      <c r="D150" s="169">
        <v>0</v>
      </c>
      <c r="E150" s="166">
        <f t="shared" si="35"/>
        <v>13.1775</v>
      </c>
      <c r="F150" s="166">
        <f t="shared" si="36"/>
        <v>0</v>
      </c>
      <c r="G150" s="166">
        <f t="shared" si="37"/>
        <v>27.091633466135459</v>
      </c>
      <c r="H150" s="166">
        <f t="shared" si="38"/>
        <v>27.091633466135459</v>
      </c>
      <c r="I150" s="164">
        <f t="shared" si="39"/>
        <v>62565</v>
      </c>
      <c r="J150" s="164">
        <f t="shared" si="40"/>
        <v>1694988.047808765</v>
      </c>
      <c r="K150" s="164">
        <f t="shared" si="41"/>
        <v>525446.29482071719</v>
      </c>
      <c r="L150" s="164">
        <v>0</v>
      </c>
      <c r="M150" s="164">
        <f t="shared" si="42"/>
        <v>2220434.342629482</v>
      </c>
      <c r="N150" s="149">
        <v>0</v>
      </c>
      <c r="O150" s="149">
        <f t="shared" si="27"/>
        <v>2220434.342629482</v>
      </c>
    </row>
    <row r="151" spans="1:15" ht="13.5" customHeight="1" x14ac:dyDescent="0.35">
      <c r="A151" s="170">
        <v>55004</v>
      </c>
      <c r="B151" s="170" t="s">
        <v>345</v>
      </c>
      <c r="C151" s="167">
        <v>218</v>
      </c>
      <c r="D151" s="169">
        <v>0.25</v>
      </c>
      <c r="E151" s="166">
        <f t="shared" si="35"/>
        <v>12.135</v>
      </c>
      <c r="F151" s="166">
        <f t="shared" si="36"/>
        <v>2.0601565718994644E-2</v>
      </c>
      <c r="G151" s="166">
        <f t="shared" si="37"/>
        <v>17.96456530696333</v>
      </c>
      <c r="H151" s="166">
        <f t="shared" si="38"/>
        <v>17.985166872682324</v>
      </c>
      <c r="I151" s="164">
        <f t="shared" si="39"/>
        <v>62565</v>
      </c>
      <c r="J151" s="164">
        <f t="shared" si="40"/>
        <v>1125241.9653893695</v>
      </c>
      <c r="K151" s="164">
        <f t="shared" si="41"/>
        <v>348825.00927070453</v>
      </c>
      <c r="L151" s="164">
        <v>0</v>
      </c>
      <c r="M151" s="164">
        <f t="shared" si="42"/>
        <v>1474066.9746600741</v>
      </c>
      <c r="N151" s="149">
        <v>0</v>
      </c>
      <c r="O151" s="149">
        <f t="shared" si="27"/>
        <v>1474066.9746600741</v>
      </c>
    </row>
    <row r="152" spans="1:15" ht="13.5" customHeight="1" x14ac:dyDescent="0.35">
      <c r="A152" s="170">
        <v>63003</v>
      </c>
      <c r="B152" s="170" t="s">
        <v>346</v>
      </c>
      <c r="C152" s="167">
        <v>2717.19</v>
      </c>
      <c r="D152" s="169">
        <v>7.5</v>
      </c>
      <c r="E152" s="166">
        <f t="shared" si="35"/>
        <v>15</v>
      </c>
      <c r="F152" s="166">
        <f t="shared" si="36"/>
        <v>0.5</v>
      </c>
      <c r="G152" s="166">
        <f t="shared" si="37"/>
        <v>181.14600000000002</v>
      </c>
      <c r="H152" s="166">
        <f t="shared" si="38"/>
        <v>181.64600000000002</v>
      </c>
      <c r="I152" s="164">
        <f t="shared" si="39"/>
        <v>62565</v>
      </c>
      <c r="J152" s="164">
        <f t="shared" si="40"/>
        <v>11364681.99</v>
      </c>
      <c r="K152" s="164">
        <f t="shared" si="41"/>
        <v>3523051.4169000001</v>
      </c>
      <c r="L152" s="164">
        <v>0</v>
      </c>
      <c r="M152" s="164">
        <f t="shared" si="42"/>
        <v>14887733.4069</v>
      </c>
      <c r="N152" s="149">
        <v>0</v>
      </c>
      <c r="O152" s="149">
        <f t="shared" si="27"/>
        <v>14887733.4069</v>
      </c>
    </row>
    <row r="153" spans="1:15" x14ac:dyDescent="0.35">
      <c r="A153" s="168"/>
      <c r="B153" s="168"/>
      <c r="C153" s="167">
        <f>SUM(C3:C152)</f>
        <v>132876.04</v>
      </c>
      <c r="D153" s="167">
        <f>SUM(D3:D152)</f>
        <v>629.75</v>
      </c>
      <c r="E153" s="165"/>
      <c r="F153" s="165"/>
      <c r="G153" s="166">
        <f>SUM(G3:G152)</f>
        <v>9139.5294258477934</v>
      </c>
      <c r="H153" s="166">
        <f>SUM(H3:H152)</f>
        <v>9182.7498643733543</v>
      </c>
      <c r="I153" s="164"/>
      <c r="J153" s="165"/>
      <c r="K153" s="165"/>
      <c r="L153" s="164">
        <f>SUM(L3:L152)</f>
        <v>113126</v>
      </c>
      <c r="M153" s="164">
        <f>SUM(M3:M152)</f>
        <v>752732682.29651964</v>
      </c>
      <c r="N153" s="149">
        <f>SUM(N3:N152)</f>
        <v>3448301.6150345881</v>
      </c>
      <c r="O153" s="149">
        <f>SUM(O3:O152)</f>
        <v>756180983.91155422</v>
      </c>
    </row>
    <row r="154" spans="1:15" ht="16.5" thickBot="1" x14ac:dyDescent="0.4">
      <c r="A154" s="163"/>
      <c r="B154" s="163"/>
      <c r="C154" s="153"/>
    </row>
    <row r="155" spans="1:15" s="155" customFormat="1" ht="17.25" thickTop="1" thickBot="1" x14ac:dyDescent="0.4">
      <c r="A155" s="162" t="s">
        <v>187</v>
      </c>
      <c r="B155" s="161" t="s">
        <v>368</v>
      </c>
      <c r="C155" s="160">
        <v>54</v>
      </c>
      <c r="D155" s="159">
        <v>0</v>
      </c>
      <c r="E155" s="158">
        <f>IF(C155&lt;200,12,IF(C155&gt;600,15,(C155*0.0075)+10.5))</f>
        <v>12</v>
      </c>
      <c r="F155" s="158">
        <f>D155/E155</f>
        <v>0</v>
      </c>
      <c r="G155" s="158">
        <f>C155/E155</f>
        <v>4.5</v>
      </c>
      <c r="H155" s="158">
        <f>G155+F155</f>
        <v>4.5</v>
      </c>
      <c r="I155" s="157">
        <f>$I$1*1.29</f>
        <v>62565</v>
      </c>
      <c r="J155" s="157">
        <f>H155*I155</f>
        <v>281542.5</v>
      </c>
      <c r="K155" s="157">
        <f>J155*0.31</f>
        <v>87278.175000000003</v>
      </c>
      <c r="L155" s="157">
        <v>0</v>
      </c>
      <c r="M155" s="157">
        <f>J155+K155</f>
        <v>368820.67499999999</v>
      </c>
      <c r="N155" s="156">
        <v>0</v>
      </c>
      <c r="O155" s="156">
        <f>IF(N155&gt;0,N155,M155)</f>
        <v>368820.67499999999</v>
      </c>
    </row>
    <row r="156" spans="1:15" ht="16.5" thickTop="1" x14ac:dyDescent="0.35"/>
    <row r="157" spans="1:15" x14ac:dyDescent="0.35">
      <c r="C157" s="322"/>
    </row>
  </sheetData>
  <autoFilter ref="A2:O153" xr:uid="{8DF939C9-E94A-481B-A35F-ACE17FBEFB92}"/>
  <mergeCells count="1">
    <mergeCell ref="A1:B1"/>
  </mergeCells>
  <printOptions gridLines="1"/>
  <pageMargins left="0.25" right="0.25" top="0.39" bottom="0.45" header="0.17" footer="0.16"/>
  <pageSetup scale="83" fitToHeight="0" orientation="landscape" cellComments="asDisplayed" r:id="rId1"/>
  <headerFooter alignWithMargins="0">
    <oddHeader xml:space="preserve">&amp;C&amp;"Arial Unicode MS,Regular"&amp;12FY2017 District Formula Need Calculation&amp;"Lucida Sans Unicode,Regular"&amp;14
</oddHeader>
    <oddFooter>&amp;R&amp;"Arial Unicode MS,Regular"&amp;8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65BA-CF64-4E38-B98F-3F29900B0630}">
  <dimension ref="A1:L156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I47" sqref="I47"/>
    </sheetView>
  </sheetViews>
  <sheetFormatPr defaultColWidth="9.140625" defaultRowHeight="15.75" x14ac:dyDescent="0.35"/>
  <cols>
    <col min="1" max="1" width="6.7109375" style="152" customWidth="1"/>
    <col min="2" max="2" width="20.7109375" style="152" bestFit="1" customWidth="1"/>
    <col min="3" max="3" width="11.5703125" style="149" customWidth="1"/>
    <col min="4" max="4" width="11.5703125" style="343" customWidth="1"/>
    <col min="5" max="5" width="10.7109375" style="343" customWidth="1"/>
    <col min="6" max="6" width="10.7109375" style="148" customWidth="1"/>
    <col min="7" max="7" width="10.7109375" style="345" customWidth="1"/>
    <col min="8" max="8" width="15.7109375" style="148" customWidth="1"/>
    <col min="9" max="9" width="11.5703125" style="150" customWidth="1"/>
    <col min="10" max="10" width="11.7109375" style="148" customWidth="1"/>
    <col min="11" max="11" width="15.7109375" style="148" bestFit="1" customWidth="1"/>
    <col min="12" max="12" width="12.85546875" style="148" customWidth="1"/>
    <col min="13" max="16384" width="9.140625" style="148"/>
  </cols>
  <sheetData>
    <row r="1" spans="1:12" s="328" customFormat="1" ht="63" x14ac:dyDescent="0.35">
      <c r="A1" s="323" t="s">
        <v>387</v>
      </c>
      <c r="B1" s="324" t="s">
        <v>190</v>
      </c>
      <c r="C1" s="325" t="s">
        <v>386</v>
      </c>
      <c r="D1" s="326" t="s">
        <v>562</v>
      </c>
      <c r="E1" s="326" t="s">
        <v>563</v>
      </c>
      <c r="F1" s="326" t="s">
        <v>383</v>
      </c>
      <c r="G1" s="327" t="s">
        <v>564</v>
      </c>
      <c r="H1" s="327" t="s">
        <v>565</v>
      </c>
      <c r="I1" s="326" t="s">
        <v>566</v>
      </c>
      <c r="J1" s="326" t="s">
        <v>380</v>
      </c>
      <c r="K1" s="327" t="s">
        <v>567</v>
      </c>
      <c r="L1" s="327" t="s">
        <v>568</v>
      </c>
    </row>
    <row r="2" spans="1:12" x14ac:dyDescent="0.35">
      <c r="A2" s="329">
        <v>6001</v>
      </c>
      <c r="B2" s="329" t="s">
        <v>198</v>
      </c>
      <c r="C2" s="330">
        <v>24956646.7883</v>
      </c>
      <c r="D2" s="331">
        <v>5393493</v>
      </c>
      <c r="E2" s="331">
        <v>314744</v>
      </c>
      <c r="F2" s="332"/>
      <c r="G2" s="333">
        <v>0</v>
      </c>
      <c r="H2" s="333">
        <f t="shared" ref="H2:H65" si="0">IF((0.5*C2)-D2-E2+F2+(0.5*G2)&lt;0,0,ROUND((0.5*C2)-D2-E2+F2+(0.5*G2),0))</f>
        <v>6770086</v>
      </c>
      <c r="I2" s="331">
        <v>5008553</v>
      </c>
      <c r="J2" s="332"/>
      <c r="K2" s="333">
        <f t="shared" ref="K2:K65" si="1">IF((0.5*C2)-I2+J2+(0.5*G2)&lt;0,0,ROUND((0.5*C2)-I2+J2+(0.5*G2),0))</f>
        <v>7469770</v>
      </c>
      <c r="L2" s="331">
        <f t="shared" ref="L2:L65" si="2">H2+K2</f>
        <v>14239856</v>
      </c>
    </row>
    <row r="3" spans="1:12" ht="13.5" customHeight="1" x14ac:dyDescent="0.35">
      <c r="A3" s="334">
        <v>58003</v>
      </c>
      <c r="B3" s="334" t="s">
        <v>199</v>
      </c>
      <c r="C3" s="335">
        <v>1664686.2689279225</v>
      </c>
      <c r="D3" s="336">
        <v>1114211</v>
      </c>
      <c r="E3" s="336">
        <v>50889</v>
      </c>
      <c r="F3" s="337"/>
      <c r="G3" s="338">
        <v>0</v>
      </c>
      <c r="H3" s="338">
        <f t="shared" si="0"/>
        <v>0</v>
      </c>
      <c r="I3" s="336">
        <v>1225338</v>
      </c>
      <c r="J3" s="337"/>
      <c r="K3" s="338">
        <f t="shared" si="1"/>
        <v>0</v>
      </c>
      <c r="L3" s="336">
        <f t="shared" si="2"/>
        <v>0</v>
      </c>
    </row>
    <row r="4" spans="1:12" ht="13.5" customHeight="1" x14ac:dyDescent="0.35">
      <c r="A4" s="334">
        <v>61001</v>
      </c>
      <c r="B4" s="334" t="s">
        <v>200</v>
      </c>
      <c r="C4" s="335">
        <v>1925932.3517228393</v>
      </c>
      <c r="D4" s="336">
        <v>415089</v>
      </c>
      <c r="E4" s="336">
        <v>49348</v>
      </c>
      <c r="F4" s="337"/>
      <c r="G4" s="338">
        <v>0</v>
      </c>
      <c r="H4" s="338">
        <f t="shared" si="0"/>
        <v>498529</v>
      </c>
      <c r="I4" s="336">
        <v>451231</v>
      </c>
      <c r="J4" s="337"/>
      <c r="K4" s="338">
        <f t="shared" si="1"/>
        <v>511735</v>
      </c>
      <c r="L4" s="336">
        <f t="shared" si="2"/>
        <v>1010264</v>
      </c>
    </row>
    <row r="5" spans="1:12" ht="13.5" customHeight="1" x14ac:dyDescent="0.35">
      <c r="A5" s="334">
        <v>11001</v>
      </c>
      <c r="B5" s="334" t="s">
        <v>201</v>
      </c>
      <c r="C5" s="335">
        <v>2052180.5</v>
      </c>
      <c r="D5" s="336">
        <v>313475</v>
      </c>
      <c r="E5" s="336">
        <v>28662</v>
      </c>
      <c r="F5" s="337"/>
      <c r="G5" s="338">
        <v>0</v>
      </c>
      <c r="H5" s="338">
        <f t="shared" si="0"/>
        <v>683953</v>
      </c>
      <c r="I5" s="336">
        <v>340211</v>
      </c>
      <c r="J5" s="337"/>
      <c r="K5" s="338">
        <f t="shared" si="1"/>
        <v>685879</v>
      </c>
      <c r="L5" s="336">
        <f t="shared" si="2"/>
        <v>1369832</v>
      </c>
    </row>
    <row r="6" spans="1:12" ht="13.5" customHeight="1" x14ac:dyDescent="0.35">
      <c r="A6" s="334">
        <v>38001</v>
      </c>
      <c r="B6" s="334" t="s">
        <v>202</v>
      </c>
      <c r="C6" s="335">
        <v>1794152.5373134329</v>
      </c>
      <c r="D6" s="336">
        <v>460557</v>
      </c>
      <c r="E6" s="336">
        <v>48952</v>
      </c>
      <c r="F6" s="337"/>
      <c r="G6" s="338">
        <v>0</v>
      </c>
      <c r="H6" s="338">
        <f t="shared" si="0"/>
        <v>387567</v>
      </c>
      <c r="I6" s="336">
        <v>474860</v>
      </c>
      <c r="J6" s="337"/>
      <c r="K6" s="338">
        <f t="shared" si="1"/>
        <v>422216</v>
      </c>
      <c r="L6" s="336">
        <f t="shared" si="2"/>
        <v>809783</v>
      </c>
    </row>
    <row r="7" spans="1:12" ht="13.5" customHeight="1" x14ac:dyDescent="0.35">
      <c r="A7" s="334">
        <v>21001</v>
      </c>
      <c r="B7" s="334" t="s">
        <v>203</v>
      </c>
      <c r="C7" s="335">
        <v>1181592.1625000001</v>
      </c>
      <c r="D7" s="336">
        <v>187395</v>
      </c>
      <c r="E7" s="336">
        <v>24681</v>
      </c>
      <c r="F7" s="337"/>
      <c r="G7" s="338">
        <v>0</v>
      </c>
      <c r="H7" s="338">
        <f t="shared" si="0"/>
        <v>378720</v>
      </c>
      <c r="I7" s="336">
        <v>197621</v>
      </c>
      <c r="J7" s="337"/>
      <c r="K7" s="338">
        <f t="shared" si="1"/>
        <v>393175</v>
      </c>
      <c r="L7" s="336">
        <f t="shared" si="2"/>
        <v>771895</v>
      </c>
    </row>
    <row r="8" spans="1:12" ht="13.5" customHeight="1" x14ac:dyDescent="0.35">
      <c r="A8" s="334">
        <v>4001</v>
      </c>
      <c r="B8" s="334" t="s">
        <v>204</v>
      </c>
      <c r="C8" s="335">
        <v>1689355.7487922704</v>
      </c>
      <c r="D8" s="336">
        <v>189775</v>
      </c>
      <c r="E8" s="336">
        <v>26876</v>
      </c>
      <c r="F8" s="337"/>
      <c r="G8" s="338">
        <v>0</v>
      </c>
      <c r="H8" s="338">
        <f t="shared" si="0"/>
        <v>628027</v>
      </c>
      <c r="I8" s="336">
        <v>207693</v>
      </c>
      <c r="J8" s="337"/>
      <c r="K8" s="338">
        <f t="shared" si="1"/>
        <v>636985</v>
      </c>
      <c r="L8" s="336">
        <f t="shared" si="2"/>
        <v>1265012</v>
      </c>
    </row>
    <row r="9" spans="1:12" ht="13.5" customHeight="1" x14ac:dyDescent="0.35">
      <c r="A9" s="334">
        <v>49001</v>
      </c>
      <c r="B9" s="334" t="s">
        <v>205</v>
      </c>
      <c r="C9" s="335">
        <v>2867309.7787144361</v>
      </c>
      <c r="D9" s="336">
        <v>338971</v>
      </c>
      <c r="E9" s="336">
        <v>26900</v>
      </c>
      <c r="F9" s="337"/>
      <c r="G9" s="338">
        <v>0</v>
      </c>
      <c r="H9" s="338">
        <f t="shared" si="0"/>
        <v>1067784</v>
      </c>
      <c r="I9" s="336">
        <v>328460</v>
      </c>
      <c r="J9" s="337"/>
      <c r="K9" s="338">
        <f t="shared" si="1"/>
        <v>1105195</v>
      </c>
      <c r="L9" s="336">
        <f t="shared" si="2"/>
        <v>2172979</v>
      </c>
    </row>
    <row r="10" spans="1:12" ht="13.5" customHeight="1" x14ac:dyDescent="0.35">
      <c r="A10" s="334">
        <v>9001</v>
      </c>
      <c r="B10" s="334" t="s">
        <v>206</v>
      </c>
      <c r="C10" s="335">
        <v>7511210.6267000008</v>
      </c>
      <c r="D10" s="336">
        <v>1167834</v>
      </c>
      <c r="E10" s="336">
        <v>73061</v>
      </c>
      <c r="F10" s="337"/>
      <c r="G10" s="338">
        <v>0</v>
      </c>
      <c r="H10" s="338">
        <f t="shared" si="0"/>
        <v>2514710</v>
      </c>
      <c r="I10" s="336">
        <v>1077117</v>
      </c>
      <c r="J10" s="339">
        <v>-428.61</v>
      </c>
      <c r="K10" s="338">
        <f t="shared" si="1"/>
        <v>2678060</v>
      </c>
      <c r="L10" s="336">
        <f t="shared" si="2"/>
        <v>5192770</v>
      </c>
    </row>
    <row r="11" spans="1:12" ht="13.5" customHeight="1" x14ac:dyDescent="0.35">
      <c r="A11" s="334">
        <v>3001</v>
      </c>
      <c r="B11" s="334" t="s">
        <v>207</v>
      </c>
      <c r="C11" s="335">
        <v>2790132.7659574468</v>
      </c>
      <c r="D11" s="336">
        <v>214406</v>
      </c>
      <c r="E11" s="336">
        <v>29316</v>
      </c>
      <c r="F11" s="337"/>
      <c r="G11" s="338">
        <v>0</v>
      </c>
      <c r="H11" s="338">
        <f t="shared" si="0"/>
        <v>1151344</v>
      </c>
      <c r="I11" s="336">
        <v>214764</v>
      </c>
      <c r="J11" s="337"/>
      <c r="K11" s="338">
        <f t="shared" si="1"/>
        <v>1180302</v>
      </c>
      <c r="L11" s="336">
        <f t="shared" si="2"/>
        <v>2331646</v>
      </c>
    </row>
    <row r="12" spans="1:12" ht="13.5" customHeight="1" x14ac:dyDescent="0.35">
      <c r="A12" s="334">
        <v>61002</v>
      </c>
      <c r="B12" s="334" t="s">
        <v>208</v>
      </c>
      <c r="C12" s="335">
        <v>3688206.75</v>
      </c>
      <c r="D12" s="336">
        <v>681295</v>
      </c>
      <c r="E12" s="336">
        <v>66864</v>
      </c>
      <c r="F12" s="337"/>
      <c r="G12" s="338">
        <v>0</v>
      </c>
      <c r="H12" s="338">
        <f t="shared" si="0"/>
        <v>1095944</v>
      </c>
      <c r="I12" s="336">
        <v>661221</v>
      </c>
      <c r="J12" s="337"/>
      <c r="K12" s="338">
        <f t="shared" si="1"/>
        <v>1182882</v>
      </c>
      <c r="L12" s="336">
        <f t="shared" si="2"/>
        <v>2278826</v>
      </c>
    </row>
    <row r="13" spans="1:12" ht="13.5" customHeight="1" x14ac:dyDescent="0.35">
      <c r="A13" s="334">
        <v>25001</v>
      </c>
      <c r="B13" s="334" t="s">
        <v>209</v>
      </c>
      <c r="C13" s="335">
        <v>655681.19999999995</v>
      </c>
      <c r="D13" s="336">
        <v>193716</v>
      </c>
      <c r="E13" s="336">
        <v>10020</v>
      </c>
      <c r="F13" s="337"/>
      <c r="G13" s="338">
        <v>0</v>
      </c>
      <c r="H13" s="338">
        <f t="shared" si="0"/>
        <v>124105</v>
      </c>
      <c r="I13" s="336">
        <v>201427</v>
      </c>
      <c r="J13" s="337"/>
      <c r="K13" s="338">
        <f t="shared" si="1"/>
        <v>126414</v>
      </c>
      <c r="L13" s="336">
        <f t="shared" si="2"/>
        <v>250519</v>
      </c>
    </row>
    <row r="14" spans="1:12" ht="13.5" customHeight="1" x14ac:dyDescent="0.35">
      <c r="A14" s="334">
        <v>52001</v>
      </c>
      <c r="B14" s="334" t="s">
        <v>210</v>
      </c>
      <c r="C14" s="335">
        <v>1017671.8625</v>
      </c>
      <c r="D14" s="336">
        <v>233906</v>
      </c>
      <c r="E14" s="336">
        <v>22621</v>
      </c>
      <c r="F14" s="337"/>
      <c r="G14" s="338">
        <v>0</v>
      </c>
      <c r="H14" s="338">
        <f t="shared" si="0"/>
        <v>252309</v>
      </c>
      <c r="I14" s="336">
        <v>261679</v>
      </c>
      <c r="J14" s="337"/>
      <c r="K14" s="338">
        <f t="shared" si="1"/>
        <v>247157</v>
      </c>
      <c r="L14" s="336">
        <f t="shared" si="2"/>
        <v>499466</v>
      </c>
    </row>
    <row r="15" spans="1:12" ht="13.5" customHeight="1" x14ac:dyDescent="0.35">
      <c r="A15" s="334">
        <v>4002</v>
      </c>
      <c r="B15" s="334" t="s">
        <v>211</v>
      </c>
      <c r="C15" s="335">
        <v>2939408.5209424095</v>
      </c>
      <c r="D15" s="336">
        <v>479188</v>
      </c>
      <c r="E15" s="336">
        <v>56237</v>
      </c>
      <c r="F15" s="337"/>
      <c r="G15" s="338">
        <v>0</v>
      </c>
      <c r="H15" s="338">
        <f t="shared" si="0"/>
        <v>934279</v>
      </c>
      <c r="I15" s="336">
        <v>505620</v>
      </c>
      <c r="J15" s="337"/>
      <c r="K15" s="338">
        <f t="shared" si="1"/>
        <v>964084</v>
      </c>
      <c r="L15" s="336">
        <f t="shared" si="2"/>
        <v>1898363</v>
      </c>
    </row>
    <row r="16" spans="1:12" ht="13.5" customHeight="1" x14ac:dyDescent="0.35">
      <c r="A16" s="334">
        <v>22001</v>
      </c>
      <c r="B16" s="334" t="s">
        <v>212</v>
      </c>
      <c r="C16" s="335">
        <v>752667.37749999994</v>
      </c>
      <c r="D16" s="336">
        <v>229139</v>
      </c>
      <c r="E16" s="336">
        <v>31068</v>
      </c>
      <c r="F16" s="337"/>
      <c r="G16" s="338">
        <v>0</v>
      </c>
      <c r="H16" s="338">
        <f t="shared" si="0"/>
        <v>116127</v>
      </c>
      <c r="I16" s="336">
        <v>244389</v>
      </c>
      <c r="J16" s="337"/>
      <c r="K16" s="338">
        <f t="shared" si="1"/>
        <v>131945</v>
      </c>
      <c r="L16" s="336">
        <f t="shared" si="2"/>
        <v>248072</v>
      </c>
    </row>
    <row r="17" spans="1:12" ht="13.5" customHeight="1" x14ac:dyDescent="0.35">
      <c r="A17" s="334">
        <v>49002</v>
      </c>
      <c r="B17" s="334" t="s">
        <v>213</v>
      </c>
      <c r="C17" s="335">
        <v>21507436.161999997</v>
      </c>
      <c r="D17" s="336">
        <v>3898679</v>
      </c>
      <c r="E17" s="336">
        <v>232776</v>
      </c>
      <c r="F17" s="337"/>
      <c r="G17" s="338">
        <v>0</v>
      </c>
      <c r="H17" s="338">
        <f t="shared" si="0"/>
        <v>6622263</v>
      </c>
      <c r="I17" s="336">
        <v>3806842</v>
      </c>
      <c r="J17" s="337"/>
      <c r="K17" s="338">
        <f t="shared" si="1"/>
        <v>6946876</v>
      </c>
      <c r="L17" s="336">
        <f t="shared" si="2"/>
        <v>13569139</v>
      </c>
    </row>
    <row r="18" spans="1:12" ht="13.5" customHeight="1" x14ac:dyDescent="0.35">
      <c r="A18" s="334">
        <v>30003</v>
      </c>
      <c r="B18" s="334" t="s">
        <v>214</v>
      </c>
      <c r="C18" s="335">
        <v>2045553.2471981882</v>
      </c>
      <c r="D18" s="336">
        <v>407013</v>
      </c>
      <c r="E18" s="336">
        <v>50000</v>
      </c>
      <c r="F18" s="337"/>
      <c r="G18" s="338">
        <v>0</v>
      </c>
      <c r="H18" s="338">
        <f t="shared" si="0"/>
        <v>565764</v>
      </c>
      <c r="I18" s="336">
        <v>423295</v>
      </c>
      <c r="J18" s="337"/>
      <c r="K18" s="338">
        <f t="shared" si="1"/>
        <v>599482</v>
      </c>
      <c r="L18" s="336">
        <f t="shared" si="2"/>
        <v>1165246</v>
      </c>
    </row>
    <row r="19" spans="1:12" ht="13.5" customHeight="1" x14ac:dyDescent="0.35">
      <c r="A19" s="334">
        <v>45004</v>
      </c>
      <c r="B19" s="334" t="s">
        <v>377</v>
      </c>
      <c r="C19" s="335">
        <v>2488467.5111096371</v>
      </c>
      <c r="D19" s="336">
        <v>902175</v>
      </c>
      <c r="E19" s="336">
        <v>99795</v>
      </c>
      <c r="F19" s="337"/>
      <c r="G19" s="338">
        <v>0</v>
      </c>
      <c r="H19" s="338">
        <f t="shared" si="0"/>
        <v>242264</v>
      </c>
      <c r="I19" s="336">
        <v>928853</v>
      </c>
      <c r="J19" s="337"/>
      <c r="K19" s="338">
        <f t="shared" si="1"/>
        <v>315381</v>
      </c>
      <c r="L19" s="336">
        <f t="shared" si="2"/>
        <v>557645</v>
      </c>
    </row>
    <row r="20" spans="1:12" ht="13.5" customHeight="1" x14ac:dyDescent="0.35">
      <c r="A20" s="334">
        <v>5001</v>
      </c>
      <c r="B20" s="334" t="s">
        <v>216</v>
      </c>
      <c r="C20" s="335">
        <v>18326945.221199997</v>
      </c>
      <c r="D20" s="336">
        <v>4207379</v>
      </c>
      <c r="E20" s="336">
        <v>228064</v>
      </c>
      <c r="F20" s="337"/>
      <c r="G20" s="338">
        <v>0</v>
      </c>
      <c r="H20" s="338">
        <f t="shared" si="0"/>
        <v>4728030</v>
      </c>
      <c r="I20" s="336">
        <v>4063542</v>
      </c>
      <c r="J20" s="337"/>
      <c r="K20" s="338">
        <f t="shared" si="1"/>
        <v>5099931</v>
      </c>
      <c r="L20" s="336">
        <f t="shared" si="2"/>
        <v>9827961</v>
      </c>
    </row>
    <row r="21" spans="1:12" ht="13.5" customHeight="1" x14ac:dyDescent="0.35">
      <c r="A21" s="334">
        <v>26002</v>
      </c>
      <c r="B21" s="334" t="s">
        <v>217</v>
      </c>
      <c r="C21" s="335">
        <v>1484052.0987654321</v>
      </c>
      <c r="D21" s="336">
        <v>183019</v>
      </c>
      <c r="E21" s="336">
        <v>23563</v>
      </c>
      <c r="F21" s="337"/>
      <c r="G21" s="338">
        <v>0</v>
      </c>
      <c r="H21" s="338">
        <f t="shared" si="0"/>
        <v>535444</v>
      </c>
      <c r="I21" s="336">
        <v>196829</v>
      </c>
      <c r="J21" s="337"/>
      <c r="K21" s="338">
        <f t="shared" si="1"/>
        <v>545197</v>
      </c>
      <c r="L21" s="336">
        <f t="shared" si="2"/>
        <v>1080641</v>
      </c>
    </row>
    <row r="22" spans="1:12" ht="13.5" customHeight="1" x14ac:dyDescent="0.35">
      <c r="A22" s="334">
        <v>43001</v>
      </c>
      <c r="B22" s="334" t="s">
        <v>218</v>
      </c>
      <c r="C22" s="335">
        <v>1380956.5536568009</v>
      </c>
      <c r="D22" s="336">
        <v>227354</v>
      </c>
      <c r="E22" s="336">
        <v>25922</v>
      </c>
      <c r="F22" s="337"/>
      <c r="G22" s="338">
        <v>0</v>
      </c>
      <c r="H22" s="338">
        <f t="shared" si="0"/>
        <v>437202</v>
      </c>
      <c r="I22" s="336">
        <v>222691</v>
      </c>
      <c r="J22" s="337"/>
      <c r="K22" s="338">
        <f t="shared" si="1"/>
        <v>467787</v>
      </c>
      <c r="L22" s="336">
        <f t="shared" si="2"/>
        <v>904989</v>
      </c>
    </row>
    <row r="23" spans="1:12" ht="13.5" customHeight="1" x14ac:dyDescent="0.35">
      <c r="A23" s="334">
        <v>41001</v>
      </c>
      <c r="B23" s="334" t="s">
        <v>219</v>
      </c>
      <c r="C23" s="335">
        <v>4819333.8075000001</v>
      </c>
      <c r="D23" s="336">
        <v>967402</v>
      </c>
      <c r="E23" s="336">
        <v>81055</v>
      </c>
      <c r="F23" s="337"/>
      <c r="G23" s="338">
        <v>0</v>
      </c>
      <c r="H23" s="338">
        <f t="shared" si="0"/>
        <v>1361210</v>
      </c>
      <c r="I23" s="336">
        <v>936221</v>
      </c>
      <c r="J23" s="337"/>
      <c r="K23" s="338">
        <f t="shared" si="1"/>
        <v>1473446</v>
      </c>
      <c r="L23" s="336">
        <f t="shared" si="2"/>
        <v>2834656</v>
      </c>
    </row>
    <row r="24" spans="1:12" ht="13.5" customHeight="1" x14ac:dyDescent="0.35">
      <c r="A24" s="334">
        <v>28001</v>
      </c>
      <c r="B24" s="334" t="s">
        <v>220</v>
      </c>
      <c r="C24" s="335">
        <v>1790328.2467144565</v>
      </c>
      <c r="D24" s="336">
        <v>289549</v>
      </c>
      <c r="E24" s="336">
        <v>33069</v>
      </c>
      <c r="F24" s="337"/>
      <c r="G24" s="338">
        <v>0</v>
      </c>
      <c r="H24" s="338">
        <f t="shared" si="0"/>
        <v>572546</v>
      </c>
      <c r="I24" s="336">
        <v>306943</v>
      </c>
      <c r="J24" s="337"/>
      <c r="K24" s="338">
        <f t="shared" si="1"/>
        <v>588221</v>
      </c>
      <c r="L24" s="336">
        <f t="shared" si="2"/>
        <v>1160767</v>
      </c>
    </row>
    <row r="25" spans="1:12" ht="13.5" customHeight="1" x14ac:dyDescent="0.35">
      <c r="A25" s="334">
        <v>60001</v>
      </c>
      <c r="B25" s="334" t="s">
        <v>221</v>
      </c>
      <c r="C25" s="335">
        <v>1513863.5940509376</v>
      </c>
      <c r="D25" s="336">
        <v>271661</v>
      </c>
      <c r="E25" s="336">
        <v>35555</v>
      </c>
      <c r="F25" s="337"/>
      <c r="G25" s="338">
        <v>0</v>
      </c>
      <c r="H25" s="338">
        <f t="shared" si="0"/>
        <v>449716</v>
      </c>
      <c r="I25" s="336">
        <v>282851</v>
      </c>
      <c r="J25" s="337"/>
      <c r="K25" s="338">
        <f t="shared" si="1"/>
        <v>474081</v>
      </c>
      <c r="L25" s="336">
        <f t="shared" si="2"/>
        <v>923797</v>
      </c>
    </row>
    <row r="26" spans="1:12" ht="13.5" customHeight="1" x14ac:dyDescent="0.35">
      <c r="A26" s="334">
        <v>7001</v>
      </c>
      <c r="B26" s="334" t="s">
        <v>222</v>
      </c>
      <c r="C26" s="335">
        <v>4766146.6427999996</v>
      </c>
      <c r="D26" s="336">
        <v>906631</v>
      </c>
      <c r="E26" s="336">
        <v>85348</v>
      </c>
      <c r="F26" s="337"/>
      <c r="G26" s="338">
        <v>0</v>
      </c>
      <c r="H26" s="338">
        <f t="shared" si="0"/>
        <v>1391094</v>
      </c>
      <c r="I26" s="336">
        <v>900348</v>
      </c>
      <c r="J26" s="337"/>
      <c r="K26" s="338">
        <f t="shared" si="1"/>
        <v>1482725</v>
      </c>
      <c r="L26" s="336">
        <f t="shared" si="2"/>
        <v>2873819</v>
      </c>
    </row>
    <row r="27" spans="1:12" ht="13.5" customHeight="1" x14ac:dyDescent="0.35">
      <c r="A27" s="334">
        <v>39001</v>
      </c>
      <c r="B27" s="334" t="s">
        <v>376</v>
      </c>
      <c r="C27" s="335">
        <v>3236861.9159113797</v>
      </c>
      <c r="D27" s="336">
        <v>542245</v>
      </c>
      <c r="E27" s="336">
        <v>45175</v>
      </c>
      <c r="F27" s="337"/>
      <c r="G27" s="338">
        <v>0</v>
      </c>
      <c r="H27" s="338">
        <f t="shared" si="0"/>
        <v>1031011</v>
      </c>
      <c r="I27" s="336">
        <v>540850</v>
      </c>
      <c r="J27" s="337"/>
      <c r="K27" s="338">
        <f t="shared" si="1"/>
        <v>1077581</v>
      </c>
      <c r="L27" s="336">
        <f t="shared" si="2"/>
        <v>2108592</v>
      </c>
    </row>
    <row r="28" spans="1:12" ht="13.5" customHeight="1" x14ac:dyDescent="0.35">
      <c r="A28" s="334">
        <v>12002</v>
      </c>
      <c r="B28" s="334" t="s">
        <v>224</v>
      </c>
      <c r="C28" s="335">
        <v>2256127.4871501997</v>
      </c>
      <c r="D28" s="336">
        <v>787833</v>
      </c>
      <c r="E28" s="336">
        <v>92305</v>
      </c>
      <c r="F28" s="337"/>
      <c r="G28" s="338">
        <v>0</v>
      </c>
      <c r="H28" s="338">
        <f t="shared" si="0"/>
        <v>247926</v>
      </c>
      <c r="I28" s="336">
        <v>833398</v>
      </c>
      <c r="J28" s="337"/>
      <c r="K28" s="338">
        <f t="shared" si="1"/>
        <v>294666</v>
      </c>
      <c r="L28" s="336">
        <f t="shared" si="2"/>
        <v>542592</v>
      </c>
    </row>
    <row r="29" spans="1:12" ht="13.5" customHeight="1" x14ac:dyDescent="0.35">
      <c r="A29" s="334">
        <v>50005</v>
      </c>
      <c r="B29" s="334" t="s">
        <v>225</v>
      </c>
      <c r="C29" s="335">
        <v>1655760.606060606</v>
      </c>
      <c r="D29" s="336">
        <v>282490</v>
      </c>
      <c r="E29" s="336">
        <v>34597</v>
      </c>
      <c r="F29" s="337"/>
      <c r="G29" s="338">
        <v>0</v>
      </c>
      <c r="H29" s="338">
        <f t="shared" si="0"/>
        <v>510793</v>
      </c>
      <c r="I29" s="336">
        <v>283107</v>
      </c>
      <c r="J29" s="337"/>
      <c r="K29" s="338">
        <f t="shared" si="1"/>
        <v>544773</v>
      </c>
      <c r="L29" s="336">
        <f t="shared" si="2"/>
        <v>1055566</v>
      </c>
    </row>
    <row r="30" spans="1:12" ht="13.5" customHeight="1" x14ac:dyDescent="0.35">
      <c r="A30" s="334">
        <v>59003</v>
      </c>
      <c r="B30" s="334" t="s">
        <v>226</v>
      </c>
      <c r="C30" s="335">
        <v>1530459.8034398032</v>
      </c>
      <c r="D30" s="336">
        <v>250596</v>
      </c>
      <c r="E30" s="336">
        <v>42112</v>
      </c>
      <c r="F30" s="337"/>
      <c r="G30" s="338">
        <v>0</v>
      </c>
      <c r="H30" s="338">
        <f t="shared" si="0"/>
        <v>472522</v>
      </c>
      <c r="I30" s="336">
        <v>280736</v>
      </c>
      <c r="J30" s="337"/>
      <c r="K30" s="338">
        <f t="shared" si="1"/>
        <v>484494</v>
      </c>
      <c r="L30" s="336">
        <f t="shared" si="2"/>
        <v>957016</v>
      </c>
    </row>
    <row r="31" spans="1:12" ht="13.5" customHeight="1" x14ac:dyDescent="0.35">
      <c r="A31" s="334">
        <v>21003</v>
      </c>
      <c r="B31" s="334" t="s">
        <v>227</v>
      </c>
      <c r="C31" s="335">
        <v>1633227.7764277034</v>
      </c>
      <c r="D31" s="336">
        <v>449852</v>
      </c>
      <c r="E31" s="336">
        <v>42771</v>
      </c>
      <c r="F31" s="337"/>
      <c r="G31" s="338">
        <v>0</v>
      </c>
      <c r="H31" s="338">
        <f t="shared" si="0"/>
        <v>323991</v>
      </c>
      <c r="I31" s="336">
        <v>472705</v>
      </c>
      <c r="J31" s="337"/>
      <c r="K31" s="338">
        <f t="shared" si="1"/>
        <v>343909</v>
      </c>
      <c r="L31" s="336">
        <f t="shared" si="2"/>
        <v>667900</v>
      </c>
    </row>
    <row r="32" spans="1:12" ht="13.5" customHeight="1" x14ac:dyDescent="0.35">
      <c r="A32" s="334">
        <v>16001</v>
      </c>
      <c r="B32" s="334" t="s">
        <v>228</v>
      </c>
      <c r="C32" s="335">
        <v>4818765.0591000002</v>
      </c>
      <c r="D32" s="336">
        <v>2292349</v>
      </c>
      <c r="E32" s="336">
        <v>129110</v>
      </c>
      <c r="F32" s="337"/>
      <c r="G32" s="338">
        <v>0</v>
      </c>
      <c r="H32" s="338">
        <f t="shared" si="0"/>
        <v>0</v>
      </c>
      <c r="I32" s="336">
        <v>2114702</v>
      </c>
      <c r="J32" s="337"/>
      <c r="K32" s="338">
        <f t="shared" si="1"/>
        <v>294681</v>
      </c>
      <c r="L32" s="336">
        <f t="shared" si="2"/>
        <v>294681</v>
      </c>
    </row>
    <row r="33" spans="1:12" ht="13.5" customHeight="1" x14ac:dyDescent="0.35">
      <c r="A33" s="334">
        <v>61008</v>
      </c>
      <c r="B33" s="334" t="s">
        <v>229</v>
      </c>
      <c r="C33" s="335">
        <v>7080154.877799999</v>
      </c>
      <c r="D33" s="336">
        <v>2072450</v>
      </c>
      <c r="E33" s="336">
        <v>115584</v>
      </c>
      <c r="F33" s="337"/>
      <c r="G33" s="338">
        <v>0</v>
      </c>
      <c r="H33" s="338">
        <f t="shared" si="0"/>
        <v>1352043</v>
      </c>
      <c r="I33" s="336">
        <v>1947090</v>
      </c>
      <c r="J33" s="337"/>
      <c r="K33" s="338">
        <f t="shared" si="1"/>
        <v>1592987</v>
      </c>
      <c r="L33" s="336">
        <f t="shared" si="2"/>
        <v>2945030</v>
      </c>
    </row>
    <row r="34" spans="1:12" ht="13.5" customHeight="1" x14ac:dyDescent="0.35">
      <c r="A34" s="334">
        <v>38002</v>
      </c>
      <c r="B34" s="334" t="s">
        <v>230</v>
      </c>
      <c r="C34" s="335">
        <v>1970626.557377049</v>
      </c>
      <c r="D34" s="336">
        <v>462432</v>
      </c>
      <c r="E34" s="336">
        <v>56697</v>
      </c>
      <c r="F34" s="337"/>
      <c r="G34" s="338">
        <v>0</v>
      </c>
      <c r="H34" s="338">
        <f t="shared" si="0"/>
        <v>466184</v>
      </c>
      <c r="I34" s="336">
        <v>492554</v>
      </c>
      <c r="J34" s="337"/>
      <c r="K34" s="338">
        <f t="shared" si="1"/>
        <v>492759</v>
      </c>
      <c r="L34" s="336">
        <f t="shared" si="2"/>
        <v>958943</v>
      </c>
    </row>
    <row r="35" spans="1:12" ht="13.5" customHeight="1" x14ac:dyDescent="0.35">
      <c r="A35" s="334">
        <v>49003</v>
      </c>
      <c r="B35" s="334" t="s">
        <v>231</v>
      </c>
      <c r="C35" s="335">
        <v>4988750.4101999998</v>
      </c>
      <c r="D35" s="336">
        <v>995714</v>
      </c>
      <c r="E35" s="336">
        <v>83804</v>
      </c>
      <c r="F35" s="337"/>
      <c r="G35" s="338">
        <v>0</v>
      </c>
      <c r="H35" s="338">
        <f t="shared" si="0"/>
        <v>1414857</v>
      </c>
      <c r="I35" s="336">
        <v>963125</v>
      </c>
      <c r="J35" s="337"/>
      <c r="K35" s="338">
        <f t="shared" si="1"/>
        <v>1531250</v>
      </c>
      <c r="L35" s="336">
        <f t="shared" si="2"/>
        <v>2946107</v>
      </c>
    </row>
    <row r="36" spans="1:12" ht="13.5" customHeight="1" x14ac:dyDescent="0.35">
      <c r="A36" s="334">
        <v>5006</v>
      </c>
      <c r="B36" s="334" t="s">
        <v>375</v>
      </c>
      <c r="C36" s="335">
        <v>2171192.0470183487</v>
      </c>
      <c r="D36" s="336">
        <v>513685</v>
      </c>
      <c r="E36" s="336">
        <v>58640</v>
      </c>
      <c r="F36" s="337"/>
      <c r="G36" s="338">
        <v>0</v>
      </c>
      <c r="H36" s="338">
        <f t="shared" si="0"/>
        <v>513271</v>
      </c>
      <c r="I36" s="336">
        <v>530664</v>
      </c>
      <c r="J36" s="337"/>
      <c r="K36" s="338">
        <f t="shared" si="1"/>
        <v>554932</v>
      </c>
      <c r="L36" s="336">
        <f t="shared" si="2"/>
        <v>1068203</v>
      </c>
    </row>
    <row r="37" spans="1:12" ht="13.5" customHeight="1" x14ac:dyDescent="0.35">
      <c r="A37" s="334">
        <v>19004</v>
      </c>
      <c r="B37" s="334" t="s">
        <v>233</v>
      </c>
      <c r="C37" s="335">
        <v>2804587.4920297554</v>
      </c>
      <c r="D37" s="336">
        <v>751129</v>
      </c>
      <c r="E37" s="336">
        <v>78814</v>
      </c>
      <c r="F37" s="337"/>
      <c r="G37" s="338">
        <v>0</v>
      </c>
      <c r="H37" s="338">
        <f t="shared" si="0"/>
        <v>572351</v>
      </c>
      <c r="I37" s="336">
        <v>772357</v>
      </c>
      <c r="J37" s="337"/>
      <c r="K37" s="338">
        <f t="shared" si="1"/>
        <v>629937</v>
      </c>
      <c r="L37" s="336">
        <f t="shared" si="2"/>
        <v>1202288</v>
      </c>
    </row>
    <row r="38" spans="1:12" ht="13.5" customHeight="1" x14ac:dyDescent="0.35">
      <c r="A38" s="334">
        <v>56002</v>
      </c>
      <c r="B38" s="334" t="s">
        <v>234</v>
      </c>
      <c r="C38" s="335">
        <v>1183299.6656249999</v>
      </c>
      <c r="D38" s="336">
        <v>406549</v>
      </c>
      <c r="E38" s="336">
        <v>45250</v>
      </c>
      <c r="F38" s="337"/>
      <c r="G38" s="338">
        <v>0</v>
      </c>
      <c r="H38" s="338">
        <f t="shared" si="0"/>
        <v>139851</v>
      </c>
      <c r="I38" s="336">
        <v>451304</v>
      </c>
      <c r="J38" s="337"/>
      <c r="K38" s="338">
        <f t="shared" si="1"/>
        <v>140346</v>
      </c>
      <c r="L38" s="336">
        <f t="shared" si="2"/>
        <v>280197</v>
      </c>
    </row>
    <row r="39" spans="1:12" ht="13.5" customHeight="1" x14ac:dyDescent="0.35">
      <c r="A39" s="334">
        <v>51001</v>
      </c>
      <c r="B39" s="334" t="s">
        <v>235</v>
      </c>
      <c r="C39" s="335">
        <v>15236391.885</v>
      </c>
      <c r="D39" s="336">
        <v>1386942</v>
      </c>
      <c r="E39" s="336">
        <v>73034</v>
      </c>
      <c r="F39" s="337"/>
      <c r="G39" s="338">
        <v>0</v>
      </c>
      <c r="H39" s="338">
        <f t="shared" si="0"/>
        <v>6158220</v>
      </c>
      <c r="I39" s="336">
        <v>1310717</v>
      </c>
      <c r="J39" s="337"/>
      <c r="K39" s="338">
        <f t="shared" si="1"/>
        <v>6307479</v>
      </c>
      <c r="L39" s="336">
        <f t="shared" si="2"/>
        <v>12465699</v>
      </c>
    </row>
    <row r="40" spans="1:12" ht="13.5" customHeight="1" x14ac:dyDescent="0.35">
      <c r="A40" s="334">
        <v>64002</v>
      </c>
      <c r="B40" s="334" t="s">
        <v>236</v>
      </c>
      <c r="C40" s="335">
        <v>2379241.917272219</v>
      </c>
      <c r="D40" s="336">
        <v>125660</v>
      </c>
      <c r="E40" s="336">
        <v>0</v>
      </c>
      <c r="F40" s="337"/>
      <c r="G40" s="338">
        <v>0</v>
      </c>
      <c r="H40" s="338">
        <f t="shared" si="0"/>
        <v>1063961</v>
      </c>
      <c r="I40" s="336">
        <v>144878</v>
      </c>
      <c r="J40" s="337"/>
      <c r="K40" s="338">
        <f t="shared" si="1"/>
        <v>1044743</v>
      </c>
      <c r="L40" s="336">
        <f t="shared" si="2"/>
        <v>2108704</v>
      </c>
    </row>
    <row r="41" spans="1:12" ht="13.5" customHeight="1" x14ac:dyDescent="0.35">
      <c r="A41" s="334">
        <v>20001</v>
      </c>
      <c r="B41" s="334" t="s">
        <v>237</v>
      </c>
      <c r="C41" s="335">
        <v>2089746.6120553198</v>
      </c>
      <c r="D41" s="336">
        <v>193624</v>
      </c>
      <c r="E41" s="336">
        <v>0</v>
      </c>
      <c r="F41" s="337"/>
      <c r="G41" s="338">
        <v>0</v>
      </c>
      <c r="H41" s="338">
        <f t="shared" si="0"/>
        <v>851249</v>
      </c>
      <c r="I41" s="336">
        <v>200664</v>
      </c>
      <c r="J41" s="337"/>
      <c r="K41" s="338">
        <f t="shared" si="1"/>
        <v>844209</v>
      </c>
      <c r="L41" s="336">
        <f t="shared" si="2"/>
        <v>1695458</v>
      </c>
    </row>
    <row r="42" spans="1:12" ht="13.5" customHeight="1" x14ac:dyDescent="0.35">
      <c r="A42" s="334">
        <v>23001</v>
      </c>
      <c r="B42" s="334" t="s">
        <v>238</v>
      </c>
      <c r="C42" s="335">
        <v>970817.97674999991</v>
      </c>
      <c r="D42" s="336">
        <v>351541</v>
      </c>
      <c r="E42" s="336">
        <v>19018</v>
      </c>
      <c r="F42" s="337"/>
      <c r="G42" s="338">
        <v>0</v>
      </c>
      <c r="H42" s="338">
        <f t="shared" si="0"/>
        <v>114850</v>
      </c>
      <c r="I42" s="336">
        <v>357087</v>
      </c>
      <c r="J42" s="337"/>
      <c r="K42" s="338">
        <f t="shared" si="1"/>
        <v>128322</v>
      </c>
      <c r="L42" s="336">
        <f t="shared" si="2"/>
        <v>243172</v>
      </c>
    </row>
    <row r="43" spans="1:12" ht="13.5" customHeight="1" x14ac:dyDescent="0.35">
      <c r="A43" s="334">
        <v>22005</v>
      </c>
      <c r="B43" s="334" t="s">
        <v>239</v>
      </c>
      <c r="C43" s="335">
        <v>874241.6</v>
      </c>
      <c r="D43" s="336">
        <v>400183</v>
      </c>
      <c r="E43" s="336">
        <v>25082</v>
      </c>
      <c r="F43" s="337"/>
      <c r="G43" s="338">
        <v>0</v>
      </c>
      <c r="H43" s="338">
        <f t="shared" si="0"/>
        <v>11856</v>
      </c>
      <c r="I43" s="336">
        <v>439604</v>
      </c>
      <c r="J43" s="337"/>
      <c r="K43" s="338">
        <f t="shared" si="1"/>
        <v>0</v>
      </c>
      <c r="L43" s="336">
        <f t="shared" si="2"/>
        <v>11856</v>
      </c>
    </row>
    <row r="44" spans="1:12" ht="13.5" customHeight="1" x14ac:dyDescent="0.35">
      <c r="A44" s="334">
        <v>16002</v>
      </c>
      <c r="B44" s="334" t="s">
        <v>240</v>
      </c>
      <c r="C44" s="335">
        <v>75130.137499999997</v>
      </c>
      <c r="D44" s="336">
        <v>104778</v>
      </c>
      <c r="E44" s="336">
        <v>0</v>
      </c>
      <c r="F44" s="337"/>
      <c r="G44" s="338">
        <v>0</v>
      </c>
      <c r="H44" s="338">
        <f t="shared" si="0"/>
        <v>0</v>
      </c>
      <c r="I44" s="336">
        <v>102940</v>
      </c>
      <c r="J44" s="337"/>
      <c r="K44" s="338">
        <f t="shared" si="1"/>
        <v>0</v>
      </c>
      <c r="L44" s="336">
        <f t="shared" si="2"/>
        <v>0</v>
      </c>
    </row>
    <row r="45" spans="1:12" ht="13.5" customHeight="1" x14ac:dyDescent="0.35">
      <c r="A45" s="334">
        <v>61007</v>
      </c>
      <c r="B45" s="334" t="s">
        <v>241</v>
      </c>
      <c r="C45" s="335">
        <v>3581658.5549999992</v>
      </c>
      <c r="D45" s="336">
        <v>769704</v>
      </c>
      <c r="E45" s="336">
        <v>76842</v>
      </c>
      <c r="F45" s="337"/>
      <c r="G45" s="338">
        <v>0</v>
      </c>
      <c r="H45" s="338">
        <f t="shared" si="0"/>
        <v>944283</v>
      </c>
      <c r="I45" s="336">
        <v>718308</v>
      </c>
      <c r="J45" s="337"/>
      <c r="K45" s="338">
        <f t="shared" si="1"/>
        <v>1072521</v>
      </c>
      <c r="L45" s="336">
        <f t="shared" si="2"/>
        <v>2016804</v>
      </c>
    </row>
    <row r="46" spans="1:12" ht="13.5" customHeight="1" x14ac:dyDescent="0.35">
      <c r="A46" s="334">
        <v>5003</v>
      </c>
      <c r="B46" s="334" t="s">
        <v>242</v>
      </c>
      <c r="C46" s="335">
        <v>1942008.2656065959</v>
      </c>
      <c r="D46" s="336">
        <v>697051</v>
      </c>
      <c r="E46" s="336">
        <v>51276</v>
      </c>
      <c r="F46" s="337"/>
      <c r="G46" s="338">
        <v>0</v>
      </c>
      <c r="H46" s="338">
        <f t="shared" si="0"/>
        <v>222677</v>
      </c>
      <c r="I46" s="336">
        <v>773091</v>
      </c>
      <c r="J46" s="337"/>
      <c r="K46" s="338">
        <f t="shared" si="1"/>
        <v>197913</v>
      </c>
      <c r="L46" s="336">
        <f t="shared" si="2"/>
        <v>420590</v>
      </c>
    </row>
    <row r="47" spans="1:12" ht="13.5" customHeight="1" x14ac:dyDescent="0.35">
      <c r="A47" s="334">
        <v>28002</v>
      </c>
      <c r="B47" s="334" t="s">
        <v>243</v>
      </c>
      <c r="C47" s="335">
        <v>1727035.0692354008</v>
      </c>
      <c r="D47" s="336">
        <v>469364</v>
      </c>
      <c r="E47" s="336">
        <v>43391</v>
      </c>
      <c r="F47" s="337"/>
      <c r="G47" s="338">
        <v>0</v>
      </c>
      <c r="H47" s="338">
        <f t="shared" si="0"/>
        <v>350763</v>
      </c>
      <c r="I47" s="336">
        <v>484391</v>
      </c>
      <c r="J47" s="337"/>
      <c r="K47" s="338">
        <f t="shared" si="1"/>
        <v>379127</v>
      </c>
      <c r="L47" s="336">
        <f t="shared" si="2"/>
        <v>729890</v>
      </c>
    </row>
    <row r="48" spans="1:12" ht="13.5" customHeight="1" x14ac:dyDescent="0.35">
      <c r="A48" s="334">
        <v>17001</v>
      </c>
      <c r="B48" s="334" t="s">
        <v>244</v>
      </c>
      <c r="C48" s="335">
        <v>1657416.3666666667</v>
      </c>
      <c r="D48" s="336">
        <v>158378</v>
      </c>
      <c r="E48" s="336">
        <v>20688</v>
      </c>
      <c r="F48" s="337"/>
      <c r="G48" s="338">
        <v>0</v>
      </c>
      <c r="H48" s="338">
        <f t="shared" si="0"/>
        <v>649642</v>
      </c>
      <c r="I48" s="336">
        <v>165866</v>
      </c>
      <c r="J48" s="337"/>
      <c r="K48" s="338">
        <f t="shared" si="1"/>
        <v>662842</v>
      </c>
      <c r="L48" s="336">
        <f t="shared" si="2"/>
        <v>1312484</v>
      </c>
    </row>
    <row r="49" spans="1:12" ht="13.5" customHeight="1" x14ac:dyDescent="0.35">
      <c r="A49" s="334">
        <v>44001</v>
      </c>
      <c r="B49" s="334" t="s">
        <v>245</v>
      </c>
      <c r="C49" s="335">
        <v>1031331.8875</v>
      </c>
      <c r="D49" s="336">
        <v>365755</v>
      </c>
      <c r="E49" s="336">
        <v>33059</v>
      </c>
      <c r="F49" s="337"/>
      <c r="G49" s="338">
        <v>0</v>
      </c>
      <c r="H49" s="338">
        <f t="shared" si="0"/>
        <v>116852</v>
      </c>
      <c r="I49" s="336">
        <v>396873</v>
      </c>
      <c r="J49" s="337"/>
      <c r="K49" s="338">
        <f t="shared" si="1"/>
        <v>118793</v>
      </c>
      <c r="L49" s="336">
        <f t="shared" si="2"/>
        <v>235645</v>
      </c>
    </row>
    <row r="50" spans="1:12" ht="13.5" customHeight="1" x14ac:dyDescent="0.35">
      <c r="A50" s="334">
        <v>46002</v>
      </c>
      <c r="B50" s="334" t="s">
        <v>246</v>
      </c>
      <c r="C50" s="335">
        <v>1181592.1625000001</v>
      </c>
      <c r="D50" s="336">
        <v>127985</v>
      </c>
      <c r="E50" s="336">
        <v>17069</v>
      </c>
      <c r="F50" s="337"/>
      <c r="G50" s="338">
        <v>0</v>
      </c>
      <c r="H50" s="338">
        <f t="shared" si="0"/>
        <v>445742</v>
      </c>
      <c r="I50" s="336">
        <v>131084</v>
      </c>
      <c r="J50" s="337"/>
      <c r="K50" s="338">
        <f t="shared" si="1"/>
        <v>459712</v>
      </c>
      <c r="L50" s="336">
        <f t="shared" si="2"/>
        <v>905454</v>
      </c>
    </row>
    <row r="51" spans="1:12" ht="13.5" customHeight="1" x14ac:dyDescent="0.35">
      <c r="A51" s="334">
        <v>24004</v>
      </c>
      <c r="B51" s="334" t="s">
        <v>374</v>
      </c>
      <c r="C51" s="335">
        <v>1988221.4373536299</v>
      </c>
      <c r="D51" s="336">
        <v>698502</v>
      </c>
      <c r="E51" s="336">
        <v>64743</v>
      </c>
      <c r="F51" s="337"/>
      <c r="G51" s="338">
        <v>0</v>
      </c>
      <c r="H51" s="338">
        <f t="shared" si="0"/>
        <v>230866</v>
      </c>
      <c r="I51" s="336">
        <v>777841</v>
      </c>
      <c r="J51" s="337"/>
      <c r="K51" s="338">
        <f t="shared" si="1"/>
        <v>216270</v>
      </c>
      <c r="L51" s="336">
        <f t="shared" si="2"/>
        <v>447136</v>
      </c>
    </row>
    <row r="52" spans="1:12" ht="13.5" customHeight="1" x14ac:dyDescent="0.35">
      <c r="A52" s="334">
        <v>50003</v>
      </c>
      <c r="B52" s="334" t="s">
        <v>248</v>
      </c>
      <c r="C52" s="335">
        <v>3761697.6845000009</v>
      </c>
      <c r="D52" s="336">
        <v>569245</v>
      </c>
      <c r="E52" s="336">
        <v>70875</v>
      </c>
      <c r="F52" s="337"/>
      <c r="G52" s="338">
        <v>0</v>
      </c>
      <c r="H52" s="338">
        <f t="shared" si="0"/>
        <v>1240729</v>
      </c>
      <c r="I52" s="336">
        <v>568300</v>
      </c>
      <c r="J52" s="337"/>
      <c r="K52" s="338">
        <f t="shared" si="1"/>
        <v>1312549</v>
      </c>
      <c r="L52" s="336">
        <f t="shared" si="2"/>
        <v>2553278</v>
      </c>
    </row>
    <row r="53" spans="1:12" ht="13.5" customHeight="1" x14ac:dyDescent="0.35">
      <c r="A53" s="334">
        <v>14001</v>
      </c>
      <c r="B53" s="334" t="s">
        <v>249</v>
      </c>
      <c r="C53" s="335">
        <v>1638871.2446873104</v>
      </c>
      <c r="D53" s="336">
        <v>143298</v>
      </c>
      <c r="E53" s="336">
        <v>20309</v>
      </c>
      <c r="F53" s="337"/>
      <c r="G53" s="338">
        <v>0</v>
      </c>
      <c r="H53" s="338">
        <f t="shared" si="0"/>
        <v>655829</v>
      </c>
      <c r="I53" s="336">
        <v>142885</v>
      </c>
      <c r="J53" s="337"/>
      <c r="K53" s="338">
        <f t="shared" si="1"/>
        <v>676551</v>
      </c>
      <c r="L53" s="336">
        <f t="shared" si="2"/>
        <v>1332380</v>
      </c>
    </row>
    <row r="54" spans="1:12" ht="13.5" customHeight="1" x14ac:dyDescent="0.35">
      <c r="A54" s="334">
        <v>6002</v>
      </c>
      <c r="B54" s="334" t="s">
        <v>250</v>
      </c>
      <c r="C54" s="335">
        <v>1129001.0662499999</v>
      </c>
      <c r="D54" s="336">
        <v>252005</v>
      </c>
      <c r="E54" s="336">
        <v>37708</v>
      </c>
      <c r="F54" s="337"/>
      <c r="G54" s="338">
        <v>0</v>
      </c>
      <c r="H54" s="338">
        <f t="shared" si="0"/>
        <v>274788</v>
      </c>
      <c r="I54" s="336">
        <v>276069</v>
      </c>
      <c r="J54" s="337"/>
      <c r="K54" s="338">
        <f t="shared" si="1"/>
        <v>288432</v>
      </c>
      <c r="L54" s="336">
        <f t="shared" si="2"/>
        <v>563220</v>
      </c>
    </row>
    <row r="55" spans="1:12" ht="13.5" customHeight="1" x14ac:dyDescent="0.35">
      <c r="A55" s="334">
        <v>33001</v>
      </c>
      <c r="B55" s="334" t="s">
        <v>251</v>
      </c>
      <c r="C55" s="335">
        <v>1986142.705546617</v>
      </c>
      <c r="D55" s="336">
        <v>508146</v>
      </c>
      <c r="E55" s="336">
        <v>57947</v>
      </c>
      <c r="F55" s="337"/>
      <c r="G55" s="338">
        <v>0</v>
      </c>
      <c r="H55" s="338">
        <f t="shared" si="0"/>
        <v>426978</v>
      </c>
      <c r="I55" s="336">
        <v>527221</v>
      </c>
      <c r="J55" s="337"/>
      <c r="K55" s="338">
        <f t="shared" si="1"/>
        <v>465850</v>
      </c>
      <c r="L55" s="336">
        <f t="shared" si="2"/>
        <v>892828</v>
      </c>
    </row>
    <row r="56" spans="1:12" ht="13.5" customHeight="1" x14ac:dyDescent="0.35">
      <c r="A56" s="334">
        <v>49004</v>
      </c>
      <c r="B56" s="334" t="s">
        <v>252</v>
      </c>
      <c r="C56" s="335">
        <v>2715873.9989264626</v>
      </c>
      <c r="D56" s="336">
        <v>461129</v>
      </c>
      <c r="E56" s="336">
        <v>41139</v>
      </c>
      <c r="F56" s="337"/>
      <c r="G56" s="338">
        <v>0</v>
      </c>
      <c r="H56" s="338">
        <f t="shared" si="0"/>
        <v>855669</v>
      </c>
      <c r="I56" s="336">
        <v>436493</v>
      </c>
      <c r="J56" s="337"/>
      <c r="K56" s="338">
        <f t="shared" si="1"/>
        <v>921444</v>
      </c>
      <c r="L56" s="336">
        <f t="shared" si="2"/>
        <v>1777113</v>
      </c>
    </row>
    <row r="57" spans="1:12" ht="13.5" customHeight="1" x14ac:dyDescent="0.35">
      <c r="A57" s="334">
        <v>63001</v>
      </c>
      <c r="B57" s="334" t="s">
        <v>253</v>
      </c>
      <c r="C57" s="335">
        <v>1949599.8122065729</v>
      </c>
      <c r="D57" s="336">
        <v>154390</v>
      </c>
      <c r="E57" s="336">
        <v>19117</v>
      </c>
      <c r="F57" s="337"/>
      <c r="G57" s="338">
        <v>0</v>
      </c>
      <c r="H57" s="338">
        <f t="shared" si="0"/>
        <v>801293</v>
      </c>
      <c r="I57" s="336">
        <v>154387</v>
      </c>
      <c r="J57" s="337"/>
      <c r="K57" s="338">
        <f t="shared" si="1"/>
        <v>820413</v>
      </c>
      <c r="L57" s="336">
        <f t="shared" si="2"/>
        <v>1621706</v>
      </c>
    </row>
    <row r="58" spans="1:12" ht="13.5" customHeight="1" x14ac:dyDescent="0.35">
      <c r="A58" s="334">
        <v>53001</v>
      </c>
      <c r="B58" s="334" t="s">
        <v>254</v>
      </c>
      <c r="C58" s="335">
        <v>1605134.5127480133</v>
      </c>
      <c r="D58" s="336">
        <v>313953</v>
      </c>
      <c r="E58" s="336">
        <v>38314</v>
      </c>
      <c r="F58" s="337"/>
      <c r="G58" s="338">
        <v>0</v>
      </c>
      <c r="H58" s="338">
        <f t="shared" si="0"/>
        <v>450300</v>
      </c>
      <c r="I58" s="336">
        <v>333957</v>
      </c>
      <c r="J58" s="337"/>
      <c r="K58" s="338">
        <f t="shared" si="1"/>
        <v>468610</v>
      </c>
      <c r="L58" s="336">
        <f t="shared" si="2"/>
        <v>918910</v>
      </c>
    </row>
    <row r="59" spans="1:12" ht="13.5" customHeight="1" x14ac:dyDescent="0.35">
      <c r="A59" s="334">
        <v>25003</v>
      </c>
      <c r="B59" s="334" t="s">
        <v>348</v>
      </c>
      <c r="C59" s="335">
        <v>416630.76250000001</v>
      </c>
      <c r="D59" s="336">
        <v>247092</v>
      </c>
      <c r="E59" s="336">
        <v>39154</v>
      </c>
      <c r="F59" s="337"/>
      <c r="G59" s="338">
        <v>0</v>
      </c>
      <c r="H59" s="338">
        <f t="shared" si="0"/>
        <v>0</v>
      </c>
      <c r="I59" s="336">
        <v>275843</v>
      </c>
      <c r="J59" s="337"/>
      <c r="K59" s="338">
        <f t="shared" si="1"/>
        <v>0</v>
      </c>
      <c r="L59" s="336">
        <f t="shared" si="2"/>
        <v>0</v>
      </c>
    </row>
    <row r="60" spans="1:12" ht="13.5" customHeight="1" x14ac:dyDescent="0.35">
      <c r="A60" s="334">
        <v>26004</v>
      </c>
      <c r="B60" s="334" t="s">
        <v>255</v>
      </c>
      <c r="C60" s="335">
        <v>2240213.0721181147</v>
      </c>
      <c r="D60" s="336">
        <v>332417</v>
      </c>
      <c r="E60" s="336">
        <v>40921</v>
      </c>
      <c r="F60" s="337"/>
      <c r="G60" s="338">
        <v>0</v>
      </c>
      <c r="H60" s="338">
        <f t="shared" si="0"/>
        <v>746769</v>
      </c>
      <c r="I60" s="336">
        <v>355699</v>
      </c>
      <c r="J60" s="337"/>
      <c r="K60" s="338">
        <f t="shared" si="1"/>
        <v>764408</v>
      </c>
      <c r="L60" s="336">
        <f t="shared" si="2"/>
        <v>1511177</v>
      </c>
    </row>
    <row r="61" spans="1:12" ht="13.5" customHeight="1" x14ac:dyDescent="0.35">
      <c r="A61" s="340">
        <v>6006</v>
      </c>
      <c r="B61" s="334" t="s">
        <v>256</v>
      </c>
      <c r="C61" s="335">
        <v>3244341.7848164905</v>
      </c>
      <c r="D61" s="336">
        <v>1498442</v>
      </c>
      <c r="E61" s="336">
        <v>95529</v>
      </c>
      <c r="F61" s="337"/>
      <c r="G61" s="338">
        <v>0</v>
      </c>
      <c r="H61" s="338">
        <f t="shared" si="0"/>
        <v>28200</v>
      </c>
      <c r="I61" s="336">
        <v>1558611</v>
      </c>
      <c r="J61" s="337"/>
      <c r="K61" s="338">
        <f t="shared" si="1"/>
        <v>63560</v>
      </c>
      <c r="L61" s="336">
        <f t="shared" si="2"/>
        <v>91760</v>
      </c>
    </row>
    <row r="62" spans="1:12" ht="13.5" customHeight="1" x14ac:dyDescent="0.35">
      <c r="A62" s="334">
        <v>27001</v>
      </c>
      <c r="B62" s="334" t="s">
        <v>257</v>
      </c>
      <c r="C62" s="335">
        <v>1981103.0409356728</v>
      </c>
      <c r="D62" s="336">
        <v>437863</v>
      </c>
      <c r="E62" s="336">
        <v>63374</v>
      </c>
      <c r="F62" s="337"/>
      <c r="G62" s="338">
        <v>0</v>
      </c>
      <c r="H62" s="338">
        <f t="shared" si="0"/>
        <v>489315</v>
      </c>
      <c r="I62" s="336">
        <v>447530</v>
      </c>
      <c r="J62" s="337"/>
      <c r="K62" s="338">
        <f t="shared" si="1"/>
        <v>543022</v>
      </c>
      <c r="L62" s="336">
        <f t="shared" si="2"/>
        <v>1032337</v>
      </c>
    </row>
    <row r="63" spans="1:12" ht="13.5" customHeight="1" x14ac:dyDescent="0.35">
      <c r="A63" s="334">
        <v>28003</v>
      </c>
      <c r="B63" s="334" t="s">
        <v>258</v>
      </c>
      <c r="C63" s="335">
        <v>4098007.5</v>
      </c>
      <c r="D63" s="336">
        <v>752640</v>
      </c>
      <c r="E63" s="336">
        <v>80769</v>
      </c>
      <c r="F63" s="337"/>
      <c r="G63" s="338">
        <v>0</v>
      </c>
      <c r="H63" s="338">
        <f t="shared" si="0"/>
        <v>1215595</v>
      </c>
      <c r="I63" s="336">
        <v>809534</v>
      </c>
      <c r="J63" s="337"/>
      <c r="K63" s="338">
        <f t="shared" si="1"/>
        <v>1239470</v>
      </c>
      <c r="L63" s="336">
        <f t="shared" si="2"/>
        <v>2455065</v>
      </c>
    </row>
    <row r="64" spans="1:12" ht="13.5" customHeight="1" x14ac:dyDescent="0.35">
      <c r="A64" s="334">
        <v>30001</v>
      </c>
      <c r="B64" s="334" t="s">
        <v>259</v>
      </c>
      <c r="C64" s="335">
        <v>2527742.943925234</v>
      </c>
      <c r="D64" s="336">
        <v>386014</v>
      </c>
      <c r="E64" s="336">
        <v>48729</v>
      </c>
      <c r="F64" s="337"/>
      <c r="G64" s="338">
        <v>0</v>
      </c>
      <c r="H64" s="338">
        <f t="shared" si="0"/>
        <v>829128</v>
      </c>
      <c r="I64" s="336">
        <v>418650</v>
      </c>
      <c r="J64" s="337"/>
      <c r="K64" s="338">
        <f t="shared" si="1"/>
        <v>845221</v>
      </c>
      <c r="L64" s="336">
        <f t="shared" si="2"/>
        <v>1674349</v>
      </c>
    </row>
    <row r="65" spans="1:12" ht="13.5" customHeight="1" x14ac:dyDescent="0.35">
      <c r="A65" s="334">
        <v>31001</v>
      </c>
      <c r="B65" s="334" t="s">
        <v>260</v>
      </c>
      <c r="C65" s="335">
        <v>1808895.0967310166</v>
      </c>
      <c r="D65" s="336">
        <v>432148</v>
      </c>
      <c r="E65" s="336">
        <v>42856</v>
      </c>
      <c r="F65" s="337"/>
      <c r="G65" s="338">
        <v>0</v>
      </c>
      <c r="H65" s="338">
        <f t="shared" si="0"/>
        <v>429444</v>
      </c>
      <c r="I65" s="336">
        <v>449119</v>
      </c>
      <c r="J65" s="337"/>
      <c r="K65" s="338">
        <f t="shared" si="1"/>
        <v>455329</v>
      </c>
      <c r="L65" s="336">
        <f t="shared" si="2"/>
        <v>884773</v>
      </c>
    </row>
    <row r="66" spans="1:12" ht="13.5" customHeight="1" x14ac:dyDescent="0.35">
      <c r="A66" s="334">
        <v>41002</v>
      </c>
      <c r="B66" s="334" t="s">
        <v>261</v>
      </c>
      <c r="C66" s="335">
        <v>22674384.777700007</v>
      </c>
      <c r="D66" s="336">
        <v>4725322</v>
      </c>
      <c r="E66" s="336">
        <v>280718</v>
      </c>
      <c r="F66" s="337"/>
      <c r="G66" s="338">
        <v>0</v>
      </c>
      <c r="H66" s="338">
        <f t="shared" ref="H66:H129" si="3">IF((0.5*C66)-D66-E66+F66+(0.5*G66)&lt;0,0,ROUND((0.5*C66)-D66-E66+F66+(0.5*G66),0))</f>
        <v>6331152</v>
      </c>
      <c r="I66" s="336">
        <v>4775959</v>
      </c>
      <c r="J66" s="337"/>
      <c r="K66" s="338">
        <f t="shared" ref="K66:K129" si="4">IF((0.5*C66)-I66+J66+(0.5*G66)&lt;0,0,ROUND((0.5*C66)-I66+J66+(0.5*G66),0))</f>
        <v>6561233</v>
      </c>
      <c r="L66" s="336">
        <f t="shared" ref="L66:L129" si="5">H66+K66</f>
        <v>12892385</v>
      </c>
    </row>
    <row r="67" spans="1:12" ht="13.5" customHeight="1" x14ac:dyDescent="0.35">
      <c r="A67" s="334">
        <v>14002</v>
      </c>
      <c r="B67" s="334" t="s">
        <v>262</v>
      </c>
      <c r="C67" s="335">
        <v>1161102.125</v>
      </c>
      <c r="D67" s="336">
        <v>123050</v>
      </c>
      <c r="E67" s="336">
        <v>16322</v>
      </c>
      <c r="F67" s="337"/>
      <c r="G67" s="338">
        <v>0</v>
      </c>
      <c r="H67" s="338">
        <f t="shared" si="3"/>
        <v>441179</v>
      </c>
      <c r="I67" s="336">
        <v>123692</v>
      </c>
      <c r="J67" s="337"/>
      <c r="K67" s="338">
        <f t="shared" si="4"/>
        <v>456859</v>
      </c>
      <c r="L67" s="336">
        <f t="shared" si="5"/>
        <v>898038</v>
      </c>
    </row>
    <row r="68" spans="1:12" ht="13.5" customHeight="1" x14ac:dyDescent="0.35">
      <c r="A68" s="334">
        <v>10001</v>
      </c>
      <c r="B68" s="334" t="s">
        <v>263</v>
      </c>
      <c r="C68" s="335">
        <v>799111.46250000002</v>
      </c>
      <c r="D68" s="336">
        <v>208758</v>
      </c>
      <c r="E68" s="336">
        <v>0</v>
      </c>
      <c r="F68" s="337"/>
      <c r="G68" s="338">
        <v>0</v>
      </c>
      <c r="H68" s="338">
        <f t="shared" si="3"/>
        <v>190798</v>
      </c>
      <c r="I68" s="336">
        <v>233049</v>
      </c>
      <c r="J68" s="337"/>
      <c r="K68" s="338">
        <f t="shared" si="4"/>
        <v>166507</v>
      </c>
      <c r="L68" s="336">
        <f t="shared" si="5"/>
        <v>357305</v>
      </c>
    </row>
    <row r="69" spans="1:12" ht="13.5" customHeight="1" x14ac:dyDescent="0.35">
      <c r="A69" s="334">
        <v>34002</v>
      </c>
      <c r="B69" s="334" t="s">
        <v>264</v>
      </c>
      <c r="C69" s="335">
        <v>1655760.606060606</v>
      </c>
      <c r="D69" s="336">
        <v>648655</v>
      </c>
      <c r="E69" s="336">
        <v>0</v>
      </c>
      <c r="F69" s="337"/>
      <c r="G69" s="338">
        <v>0</v>
      </c>
      <c r="H69" s="338">
        <f t="shared" si="3"/>
        <v>179225</v>
      </c>
      <c r="I69" s="336">
        <v>720136</v>
      </c>
      <c r="J69" s="337"/>
      <c r="K69" s="338">
        <f t="shared" si="4"/>
        <v>107744</v>
      </c>
      <c r="L69" s="336">
        <f t="shared" si="5"/>
        <v>286969</v>
      </c>
    </row>
    <row r="70" spans="1:12" ht="13.5" customHeight="1" x14ac:dyDescent="0.35">
      <c r="A70" s="334">
        <v>51002</v>
      </c>
      <c r="B70" s="334" t="s">
        <v>265</v>
      </c>
      <c r="C70" s="335">
        <v>2883779.0575033585</v>
      </c>
      <c r="D70" s="336">
        <v>1577349</v>
      </c>
      <c r="E70" s="336">
        <v>69989</v>
      </c>
      <c r="F70" s="337"/>
      <c r="G70" s="338">
        <v>0</v>
      </c>
      <c r="H70" s="338">
        <f t="shared" si="3"/>
        <v>0</v>
      </c>
      <c r="I70" s="336">
        <v>1435837</v>
      </c>
      <c r="J70" s="337"/>
      <c r="K70" s="338">
        <f t="shared" si="4"/>
        <v>6053</v>
      </c>
      <c r="L70" s="336">
        <f t="shared" si="5"/>
        <v>6053</v>
      </c>
    </row>
    <row r="71" spans="1:12" ht="13.5" customHeight="1" x14ac:dyDescent="0.35">
      <c r="A71" s="334">
        <v>56006</v>
      </c>
      <c r="B71" s="334" t="s">
        <v>266</v>
      </c>
      <c r="C71" s="335">
        <v>1559470.6652360519</v>
      </c>
      <c r="D71" s="336">
        <v>516392</v>
      </c>
      <c r="E71" s="336">
        <v>32597</v>
      </c>
      <c r="F71" s="337"/>
      <c r="G71" s="338">
        <v>0</v>
      </c>
      <c r="H71" s="338">
        <f t="shared" si="3"/>
        <v>230746</v>
      </c>
      <c r="I71" s="336">
        <v>565554</v>
      </c>
      <c r="J71" s="337"/>
      <c r="K71" s="338">
        <f t="shared" si="4"/>
        <v>214181</v>
      </c>
      <c r="L71" s="336">
        <f t="shared" si="5"/>
        <v>444927</v>
      </c>
    </row>
    <row r="72" spans="1:12" ht="13.5" customHeight="1" x14ac:dyDescent="0.35">
      <c r="A72" s="334">
        <v>23002</v>
      </c>
      <c r="B72" s="334" t="s">
        <v>267</v>
      </c>
      <c r="C72" s="335">
        <v>4407543.6665000003</v>
      </c>
      <c r="D72" s="336">
        <v>977133</v>
      </c>
      <c r="E72" s="336">
        <v>57515</v>
      </c>
      <c r="F72" s="337"/>
      <c r="G72" s="338">
        <v>0</v>
      </c>
      <c r="H72" s="338">
        <f t="shared" si="3"/>
        <v>1169124</v>
      </c>
      <c r="I72" s="336">
        <v>901224</v>
      </c>
      <c r="J72" s="337"/>
      <c r="K72" s="338">
        <f t="shared" si="4"/>
        <v>1302548</v>
      </c>
      <c r="L72" s="336">
        <f t="shared" si="5"/>
        <v>2471672</v>
      </c>
    </row>
    <row r="73" spans="1:12" ht="13.5" customHeight="1" x14ac:dyDescent="0.35">
      <c r="A73" s="334">
        <v>53002</v>
      </c>
      <c r="B73" s="334" t="s">
        <v>268</v>
      </c>
      <c r="C73" s="335">
        <v>758174.26830357139</v>
      </c>
      <c r="D73" s="336">
        <v>500245</v>
      </c>
      <c r="E73" s="336">
        <v>34343</v>
      </c>
      <c r="F73" s="337"/>
      <c r="G73" s="338">
        <v>0</v>
      </c>
      <c r="H73" s="338">
        <f t="shared" si="3"/>
        <v>0</v>
      </c>
      <c r="I73" s="336">
        <v>549027</v>
      </c>
      <c r="J73" s="337"/>
      <c r="K73" s="338">
        <f t="shared" si="4"/>
        <v>0</v>
      </c>
      <c r="L73" s="336">
        <f t="shared" si="5"/>
        <v>0</v>
      </c>
    </row>
    <row r="74" spans="1:12" ht="13.5" customHeight="1" x14ac:dyDescent="0.35">
      <c r="A74" s="334">
        <v>48003</v>
      </c>
      <c r="B74" s="334" t="s">
        <v>269</v>
      </c>
      <c r="C74" s="335">
        <v>2274421.4033040246</v>
      </c>
      <c r="D74" s="336">
        <v>753236</v>
      </c>
      <c r="E74" s="336">
        <v>52737</v>
      </c>
      <c r="F74" s="337"/>
      <c r="G74" s="338">
        <v>0</v>
      </c>
      <c r="H74" s="338">
        <f t="shared" si="3"/>
        <v>331238</v>
      </c>
      <c r="I74" s="336">
        <v>794905</v>
      </c>
      <c r="J74" s="337"/>
      <c r="K74" s="338">
        <f t="shared" si="4"/>
        <v>342306</v>
      </c>
      <c r="L74" s="336">
        <f t="shared" si="5"/>
        <v>673544</v>
      </c>
    </row>
    <row r="75" spans="1:12" ht="13.5" customHeight="1" x14ac:dyDescent="0.35">
      <c r="A75" s="334">
        <v>2002</v>
      </c>
      <c r="B75" s="334" t="s">
        <v>270</v>
      </c>
      <c r="C75" s="335">
        <v>14588392.638899999</v>
      </c>
      <c r="D75" s="336">
        <v>2366159</v>
      </c>
      <c r="E75" s="336">
        <v>166172</v>
      </c>
      <c r="F75" s="337"/>
      <c r="G75" s="338">
        <v>45127.258590000005</v>
      </c>
      <c r="H75" s="338">
        <f t="shared" si="3"/>
        <v>4784429</v>
      </c>
      <c r="I75" s="336">
        <v>2193511</v>
      </c>
      <c r="J75" s="337"/>
      <c r="K75" s="338">
        <f t="shared" si="4"/>
        <v>5123249</v>
      </c>
      <c r="L75" s="336">
        <f t="shared" si="5"/>
        <v>9907678</v>
      </c>
    </row>
    <row r="76" spans="1:12" ht="13.5" customHeight="1" x14ac:dyDescent="0.35">
      <c r="A76" s="334">
        <v>22006</v>
      </c>
      <c r="B76" s="334" t="s">
        <v>271</v>
      </c>
      <c r="C76" s="335">
        <v>2469865.8624514695</v>
      </c>
      <c r="D76" s="336">
        <v>884337</v>
      </c>
      <c r="E76" s="336">
        <v>45320</v>
      </c>
      <c r="F76" s="337"/>
      <c r="G76" s="338">
        <v>0</v>
      </c>
      <c r="H76" s="338">
        <f t="shared" si="3"/>
        <v>305276</v>
      </c>
      <c r="I76" s="336">
        <v>892561</v>
      </c>
      <c r="J76" s="337"/>
      <c r="K76" s="338">
        <f t="shared" si="4"/>
        <v>342372</v>
      </c>
      <c r="L76" s="336">
        <f t="shared" si="5"/>
        <v>647648</v>
      </c>
    </row>
    <row r="77" spans="1:12" ht="13.5" customHeight="1" x14ac:dyDescent="0.35">
      <c r="A77" s="334">
        <v>13003</v>
      </c>
      <c r="B77" s="334" t="s">
        <v>272</v>
      </c>
      <c r="C77" s="335">
        <v>1898997.0131901205</v>
      </c>
      <c r="D77" s="336">
        <v>493117</v>
      </c>
      <c r="E77" s="336">
        <v>62149</v>
      </c>
      <c r="F77" s="337"/>
      <c r="G77" s="338">
        <v>0</v>
      </c>
      <c r="H77" s="338">
        <f t="shared" si="3"/>
        <v>394233</v>
      </c>
      <c r="I77" s="336">
        <v>494330</v>
      </c>
      <c r="J77" s="337"/>
      <c r="K77" s="338">
        <f t="shared" si="4"/>
        <v>455169</v>
      </c>
      <c r="L77" s="336">
        <f t="shared" si="5"/>
        <v>849402</v>
      </c>
    </row>
    <row r="78" spans="1:12" ht="13.5" customHeight="1" x14ac:dyDescent="0.35">
      <c r="A78" s="334">
        <v>2003</v>
      </c>
      <c r="B78" s="334" t="s">
        <v>273</v>
      </c>
      <c r="C78" s="335">
        <v>1592949.6192964676</v>
      </c>
      <c r="D78" s="336">
        <v>497727</v>
      </c>
      <c r="E78" s="336">
        <v>42530</v>
      </c>
      <c r="F78" s="337"/>
      <c r="G78" s="338">
        <v>0</v>
      </c>
      <c r="H78" s="338">
        <f t="shared" si="3"/>
        <v>256218</v>
      </c>
      <c r="I78" s="336">
        <v>529484</v>
      </c>
      <c r="J78" s="337"/>
      <c r="K78" s="338">
        <f t="shared" si="4"/>
        <v>266991</v>
      </c>
      <c r="L78" s="336">
        <f t="shared" si="5"/>
        <v>523209</v>
      </c>
    </row>
    <row r="79" spans="1:12" ht="13.5" customHeight="1" x14ac:dyDescent="0.35">
      <c r="A79" s="334">
        <v>37003</v>
      </c>
      <c r="B79" s="334" t="s">
        <v>274</v>
      </c>
      <c r="C79" s="335">
        <v>1290872.3625</v>
      </c>
      <c r="D79" s="336">
        <v>288936</v>
      </c>
      <c r="E79" s="336">
        <v>17595</v>
      </c>
      <c r="F79" s="337"/>
      <c r="G79" s="338">
        <v>0</v>
      </c>
      <c r="H79" s="338">
        <f t="shared" si="3"/>
        <v>338905</v>
      </c>
      <c r="I79" s="336">
        <v>311695</v>
      </c>
      <c r="J79" s="337"/>
      <c r="K79" s="338">
        <f t="shared" si="4"/>
        <v>333741</v>
      </c>
      <c r="L79" s="336">
        <f t="shared" si="5"/>
        <v>672646</v>
      </c>
    </row>
    <row r="80" spans="1:12" ht="13.5" customHeight="1" x14ac:dyDescent="0.35">
      <c r="A80" s="334">
        <v>35002</v>
      </c>
      <c r="B80" s="334" t="s">
        <v>275</v>
      </c>
      <c r="C80" s="335">
        <v>2175601.2356979409</v>
      </c>
      <c r="D80" s="336">
        <v>339776</v>
      </c>
      <c r="E80" s="336">
        <v>47052</v>
      </c>
      <c r="F80" s="337"/>
      <c r="G80" s="338">
        <v>0</v>
      </c>
      <c r="H80" s="338">
        <f t="shared" si="3"/>
        <v>700973</v>
      </c>
      <c r="I80" s="336">
        <v>347952</v>
      </c>
      <c r="J80" s="337"/>
      <c r="K80" s="338">
        <f t="shared" si="4"/>
        <v>739849</v>
      </c>
      <c r="L80" s="336">
        <f t="shared" si="5"/>
        <v>1440822</v>
      </c>
    </row>
    <row r="81" spans="1:12" ht="13.5" customHeight="1" x14ac:dyDescent="0.35">
      <c r="A81" s="334">
        <v>7002</v>
      </c>
      <c r="B81" s="334" t="s">
        <v>276</v>
      </c>
      <c r="C81" s="335">
        <v>1912081.3295990569</v>
      </c>
      <c r="D81" s="336">
        <v>376163</v>
      </c>
      <c r="E81" s="336">
        <v>41568</v>
      </c>
      <c r="F81" s="337"/>
      <c r="G81" s="338">
        <v>0</v>
      </c>
      <c r="H81" s="338">
        <f t="shared" si="3"/>
        <v>538310</v>
      </c>
      <c r="I81" s="336">
        <v>431172</v>
      </c>
      <c r="J81" s="337"/>
      <c r="K81" s="338">
        <f t="shared" si="4"/>
        <v>524869</v>
      </c>
      <c r="L81" s="336">
        <f t="shared" si="5"/>
        <v>1063179</v>
      </c>
    </row>
    <row r="82" spans="1:12" ht="13.5" customHeight="1" x14ac:dyDescent="0.35">
      <c r="A82" s="334">
        <v>38003</v>
      </c>
      <c r="B82" s="334" t="s">
        <v>277</v>
      </c>
      <c r="C82" s="335">
        <v>1010841.85</v>
      </c>
      <c r="D82" s="336">
        <v>312368</v>
      </c>
      <c r="E82" s="336">
        <v>39192</v>
      </c>
      <c r="F82" s="337"/>
      <c r="G82" s="338">
        <v>0</v>
      </c>
      <c r="H82" s="338">
        <f t="shared" si="3"/>
        <v>153861</v>
      </c>
      <c r="I82" s="336">
        <v>332749</v>
      </c>
      <c r="J82" s="337"/>
      <c r="K82" s="338">
        <f t="shared" si="4"/>
        <v>172672</v>
      </c>
      <c r="L82" s="336">
        <f t="shared" si="5"/>
        <v>326533</v>
      </c>
    </row>
    <row r="83" spans="1:12" ht="13.5" customHeight="1" x14ac:dyDescent="0.35">
      <c r="A83" s="334">
        <v>45005</v>
      </c>
      <c r="B83" s="334" t="s">
        <v>278</v>
      </c>
      <c r="C83" s="335">
        <v>1489263.5414091472</v>
      </c>
      <c r="D83" s="336">
        <v>460778</v>
      </c>
      <c r="E83" s="336">
        <v>63723</v>
      </c>
      <c r="F83" s="337"/>
      <c r="G83" s="338">
        <v>0</v>
      </c>
      <c r="H83" s="338">
        <f t="shared" si="3"/>
        <v>220131</v>
      </c>
      <c r="I83" s="336">
        <v>511433</v>
      </c>
      <c r="J83" s="337"/>
      <c r="K83" s="338">
        <f t="shared" si="4"/>
        <v>233199</v>
      </c>
      <c r="L83" s="336">
        <f t="shared" si="5"/>
        <v>453330</v>
      </c>
    </row>
    <row r="84" spans="1:12" ht="13.5" customHeight="1" x14ac:dyDescent="0.35">
      <c r="A84" s="334">
        <v>40001</v>
      </c>
      <c r="B84" s="334" t="s">
        <v>279</v>
      </c>
      <c r="C84" s="335">
        <v>3978509.6012999993</v>
      </c>
      <c r="D84" s="336">
        <v>2992885</v>
      </c>
      <c r="E84" s="336">
        <v>126385</v>
      </c>
      <c r="F84" s="337"/>
      <c r="G84" s="338">
        <v>0</v>
      </c>
      <c r="H84" s="338">
        <f t="shared" si="3"/>
        <v>0</v>
      </c>
      <c r="I84" s="336">
        <v>2733455</v>
      </c>
      <c r="J84" s="339">
        <v>-70924.19</v>
      </c>
      <c r="K84" s="338">
        <f t="shared" si="4"/>
        <v>0</v>
      </c>
      <c r="L84" s="336">
        <f t="shared" si="5"/>
        <v>0</v>
      </c>
    </row>
    <row r="85" spans="1:12" ht="13.5" customHeight="1" x14ac:dyDescent="0.35">
      <c r="A85" s="334">
        <v>52004</v>
      </c>
      <c r="B85" s="334" t="s">
        <v>280</v>
      </c>
      <c r="C85" s="335">
        <v>1747840.5874411208</v>
      </c>
      <c r="D85" s="336">
        <v>355038</v>
      </c>
      <c r="E85" s="336">
        <v>47771</v>
      </c>
      <c r="F85" s="337"/>
      <c r="G85" s="338">
        <v>0</v>
      </c>
      <c r="H85" s="338">
        <f t="shared" si="3"/>
        <v>471111</v>
      </c>
      <c r="I85" s="336">
        <v>385032</v>
      </c>
      <c r="J85" s="337"/>
      <c r="K85" s="338">
        <f t="shared" si="4"/>
        <v>488888</v>
      </c>
      <c r="L85" s="336">
        <f t="shared" si="5"/>
        <v>959999</v>
      </c>
    </row>
    <row r="86" spans="1:12" ht="13.5" customHeight="1" x14ac:dyDescent="0.35">
      <c r="A86" s="334">
        <v>41004</v>
      </c>
      <c r="B86" s="334" t="s">
        <v>281</v>
      </c>
      <c r="C86" s="335">
        <v>5767317.1951000001</v>
      </c>
      <c r="D86" s="336">
        <v>1039638</v>
      </c>
      <c r="E86" s="336">
        <v>84106</v>
      </c>
      <c r="F86" s="337"/>
      <c r="G86" s="338">
        <v>0</v>
      </c>
      <c r="H86" s="338">
        <f t="shared" si="3"/>
        <v>1759915</v>
      </c>
      <c r="I86" s="336">
        <v>1094493</v>
      </c>
      <c r="J86" s="337"/>
      <c r="K86" s="338">
        <f t="shared" si="4"/>
        <v>1789166</v>
      </c>
      <c r="L86" s="336">
        <f t="shared" si="5"/>
        <v>3549081</v>
      </c>
    </row>
    <row r="87" spans="1:12" ht="13.5" customHeight="1" x14ac:dyDescent="0.35">
      <c r="A87" s="334">
        <v>44002</v>
      </c>
      <c r="B87" s="334" t="s">
        <v>282</v>
      </c>
      <c r="C87" s="335">
        <v>1302824.8843749999</v>
      </c>
      <c r="D87" s="336">
        <v>359036</v>
      </c>
      <c r="E87" s="336">
        <v>52135</v>
      </c>
      <c r="F87" s="337"/>
      <c r="G87" s="338">
        <v>0</v>
      </c>
      <c r="H87" s="338">
        <f t="shared" si="3"/>
        <v>240241</v>
      </c>
      <c r="I87" s="336">
        <v>374771</v>
      </c>
      <c r="J87" s="337"/>
      <c r="K87" s="338">
        <f t="shared" si="4"/>
        <v>276641</v>
      </c>
      <c r="L87" s="336">
        <f t="shared" si="5"/>
        <v>516882</v>
      </c>
    </row>
    <row r="88" spans="1:12" ht="13.5" customHeight="1" x14ac:dyDescent="0.35">
      <c r="A88" s="334">
        <v>42001</v>
      </c>
      <c r="B88" s="334" t="s">
        <v>283</v>
      </c>
      <c r="C88" s="335">
        <v>2475407.8453038675</v>
      </c>
      <c r="D88" s="336">
        <v>516810</v>
      </c>
      <c r="E88" s="336">
        <v>78890</v>
      </c>
      <c r="F88" s="337"/>
      <c r="G88" s="338">
        <v>0</v>
      </c>
      <c r="H88" s="338">
        <f t="shared" si="3"/>
        <v>642004</v>
      </c>
      <c r="I88" s="336">
        <v>560608</v>
      </c>
      <c r="J88" s="337"/>
      <c r="K88" s="338">
        <f t="shared" si="4"/>
        <v>677096</v>
      </c>
      <c r="L88" s="336">
        <f t="shared" si="5"/>
        <v>1319100</v>
      </c>
    </row>
    <row r="89" spans="1:12" ht="13.5" customHeight="1" x14ac:dyDescent="0.35">
      <c r="A89" s="334">
        <v>39002</v>
      </c>
      <c r="B89" s="334" t="s">
        <v>284</v>
      </c>
      <c r="C89" s="335">
        <v>6358850.9177000001</v>
      </c>
      <c r="D89" s="336">
        <v>1647741</v>
      </c>
      <c r="E89" s="336">
        <v>115875</v>
      </c>
      <c r="F89" s="337"/>
      <c r="G89" s="338">
        <v>0</v>
      </c>
      <c r="H89" s="338">
        <f t="shared" si="3"/>
        <v>1415809</v>
      </c>
      <c r="I89" s="336">
        <v>1621399</v>
      </c>
      <c r="J89" s="337"/>
      <c r="K89" s="338">
        <f t="shared" si="4"/>
        <v>1558026</v>
      </c>
      <c r="L89" s="336">
        <f t="shared" si="5"/>
        <v>2973835</v>
      </c>
    </row>
    <row r="90" spans="1:12" ht="13.5" customHeight="1" x14ac:dyDescent="0.35">
      <c r="A90" s="334">
        <v>60003</v>
      </c>
      <c r="B90" s="334" t="s">
        <v>285</v>
      </c>
      <c r="C90" s="335">
        <v>1262869.3112500003</v>
      </c>
      <c r="D90" s="336">
        <v>324473</v>
      </c>
      <c r="E90" s="336">
        <v>30558</v>
      </c>
      <c r="F90" s="337"/>
      <c r="G90" s="338">
        <v>0</v>
      </c>
      <c r="H90" s="338">
        <f t="shared" si="3"/>
        <v>276404</v>
      </c>
      <c r="I90" s="336">
        <v>319599</v>
      </c>
      <c r="J90" s="337"/>
      <c r="K90" s="338">
        <f t="shared" si="4"/>
        <v>311836</v>
      </c>
      <c r="L90" s="336">
        <f t="shared" si="5"/>
        <v>588240</v>
      </c>
    </row>
    <row r="91" spans="1:12" ht="13.5" customHeight="1" x14ac:dyDescent="0.35">
      <c r="A91" s="334">
        <v>43007</v>
      </c>
      <c r="B91" s="334" t="s">
        <v>286</v>
      </c>
      <c r="C91" s="335">
        <v>2335108.9774759067</v>
      </c>
      <c r="D91" s="336">
        <v>423824</v>
      </c>
      <c r="E91" s="336">
        <v>52858</v>
      </c>
      <c r="F91" s="337"/>
      <c r="G91" s="338">
        <v>0</v>
      </c>
      <c r="H91" s="338">
        <f t="shared" si="3"/>
        <v>690872</v>
      </c>
      <c r="I91" s="336">
        <v>442347</v>
      </c>
      <c r="J91" s="337"/>
      <c r="K91" s="338">
        <f t="shared" si="4"/>
        <v>725207</v>
      </c>
      <c r="L91" s="336">
        <f t="shared" si="5"/>
        <v>1416079</v>
      </c>
    </row>
    <row r="92" spans="1:12" ht="13.5" customHeight="1" x14ac:dyDescent="0.35">
      <c r="A92" s="334">
        <v>15001</v>
      </c>
      <c r="B92" s="334" t="s">
        <v>287</v>
      </c>
      <c r="C92" s="335">
        <v>1099632.0125</v>
      </c>
      <c r="D92" s="336">
        <v>94669</v>
      </c>
      <c r="E92" s="336">
        <v>15494</v>
      </c>
      <c r="F92" s="337"/>
      <c r="G92" s="338">
        <v>0</v>
      </c>
      <c r="H92" s="338">
        <f t="shared" si="3"/>
        <v>439653</v>
      </c>
      <c r="I92" s="336">
        <v>105545</v>
      </c>
      <c r="J92" s="337"/>
      <c r="K92" s="338">
        <f t="shared" si="4"/>
        <v>444271</v>
      </c>
      <c r="L92" s="336">
        <f t="shared" si="5"/>
        <v>883924</v>
      </c>
    </row>
    <row r="93" spans="1:12" ht="13.5" customHeight="1" x14ac:dyDescent="0.35">
      <c r="A93" s="334">
        <v>15002</v>
      </c>
      <c r="B93" s="334" t="s">
        <v>288</v>
      </c>
      <c r="C93" s="335">
        <v>2693028.8855989235</v>
      </c>
      <c r="D93" s="336">
        <v>141715</v>
      </c>
      <c r="E93" s="336">
        <v>0</v>
      </c>
      <c r="F93" s="337"/>
      <c r="G93" s="338">
        <v>0</v>
      </c>
      <c r="H93" s="338">
        <f t="shared" si="3"/>
        <v>1204799</v>
      </c>
      <c r="I93" s="336">
        <v>155214</v>
      </c>
      <c r="J93" s="337"/>
      <c r="K93" s="338">
        <f t="shared" si="4"/>
        <v>1191300</v>
      </c>
      <c r="L93" s="336">
        <f t="shared" si="5"/>
        <v>2396099</v>
      </c>
    </row>
    <row r="94" spans="1:12" ht="13.5" customHeight="1" x14ac:dyDescent="0.35">
      <c r="A94" s="334">
        <v>46001</v>
      </c>
      <c r="B94" s="334" t="s">
        <v>289</v>
      </c>
      <c r="C94" s="335">
        <v>15478392.8879</v>
      </c>
      <c r="D94" s="336">
        <v>3670047</v>
      </c>
      <c r="E94" s="336">
        <v>256408</v>
      </c>
      <c r="F94" s="337"/>
      <c r="G94" s="338">
        <v>0</v>
      </c>
      <c r="H94" s="338">
        <f t="shared" si="3"/>
        <v>3812741</v>
      </c>
      <c r="I94" s="336">
        <v>3514216</v>
      </c>
      <c r="J94" s="339">
        <v>-15152.41</v>
      </c>
      <c r="K94" s="338">
        <f t="shared" si="4"/>
        <v>4209828</v>
      </c>
      <c r="L94" s="336">
        <f t="shared" si="5"/>
        <v>8022569</v>
      </c>
    </row>
    <row r="95" spans="1:12" ht="13.5" customHeight="1" x14ac:dyDescent="0.35">
      <c r="A95" s="334">
        <v>33002</v>
      </c>
      <c r="B95" s="334" t="s">
        <v>290</v>
      </c>
      <c r="C95" s="335">
        <v>1858739.1160714284</v>
      </c>
      <c r="D95" s="336">
        <v>350088</v>
      </c>
      <c r="E95" s="336">
        <v>38540</v>
      </c>
      <c r="F95" s="337"/>
      <c r="G95" s="338">
        <v>0</v>
      </c>
      <c r="H95" s="338">
        <f t="shared" si="3"/>
        <v>540742</v>
      </c>
      <c r="I95" s="336">
        <v>363953</v>
      </c>
      <c r="J95" s="337"/>
      <c r="K95" s="338">
        <f t="shared" si="4"/>
        <v>565417</v>
      </c>
      <c r="L95" s="336">
        <f t="shared" si="5"/>
        <v>1106159</v>
      </c>
    </row>
    <row r="96" spans="1:12" ht="13.5" customHeight="1" x14ac:dyDescent="0.35">
      <c r="A96" s="334">
        <v>25004</v>
      </c>
      <c r="B96" s="334" t="s">
        <v>291</v>
      </c>
      <c r="C96" s="335">
        <v>5109122.550499999</v>
      </c>
      <c r="D96" s="336">
        <v>1317115</v>
      </c>
      <c r="E96" s="336">
        <v>93899</v>
      </c>
      <c r="F96" s="337"/>
      <c r="G96" s="338">
        <v>0</v>
      </c>
      <c r="H96" s="338">
        <f t="shared" si="3"/>
        <v>1143547</v>
      </c>
      <c r="I96" s="336">
        <v>1271118</v>
      </c>
      <c r="J96" s="337"/>
      <c r="K96" s="338">
        <f t="shared" si="4"/>
        <v>1283443</v>
      </c>
      <c r="L96" s="336">
        <f t="shared" si="5"/>
        <v>2426990</v>
      </c>
    </row>
    <row r="97" spans="1:12" ht="13.5" customHeight="1" x14ac:dyDescent="0.35">
      <c r="A97" s="334">
        <v>29004</v>
      </c>
      <c r="B97" s="334" t="s">
        <v>292</v>
      </c>
      <c r="C97" s="335">
        <v>2697564.251697015</v>
      </c>
      <c r="D97" s="336">
        <v>1041273</v>
      </c>
      <c r="E97" s="336">
        <v>112531</v>
      </c>
      <c r="F97" s="337"/>
      <c r="G97" s="338">
        <v>0</v>
      </c>
      <c r="H97" s="338">
        <f t="shared" si="3"/>
        <v>194978</v>
      </c>
      <c r="I97" s="336">
        <v>1131954</v>
      </c>
      <c r="J97" s="337"/>
      <c r="K97" s="338">
        <f t="shared" si="4"/>
        <v>216828</v>
      </c>
      <c r="L97" s="336">
        <f t="shared" si="5"/>
        <v>411806</v>
      </c>
    </row>
    <row r="98" spans="1:12" ht="13.5" customHeight="1" x14ac:dyDescent="0.35">
      <c r="A98" s="334">
        <v>17002</v>
      </c>
      <c r="B98" s="334" t="s">
        <v>293</v>
      </c>
      <c r="C98" s="335">
        <v>15239943.491500001</v>
      </c>
      <c r="D98" s="336">
        <v>3230307</v>
      </c>
      <c r="E98" s="336">
        <v>187786</v>
      </c>
      <c r="F98" s="337"/>
      <c r="G98" s="338">
        <v>93429.10699</v>
      </c>
      <c r="H98" s="338">
        <f t="shared" si="3"/>
        <v>4248593</v>
      </c>
      <c r="I98" s="336">
        <v>3064467</v>
      </c>
      <c r="J98" s="337"/>
      <c r="K98" s="338">
        <f t="shared" si="4"/>
        <v>4602219</v>
      </c>
      <c r="L98" s="336">
        <f t="shared" si="5"/>
        <v>8850812</v>
      </c>
    </row>
    <row r="99" spans="1:12" ht="13.5" customHeight="1" x14ac:dyDescent="0.35">
      <c r="A99" s="334">
        <v>62006</v>
      </c>
      <c r="B99" s="334" t="s">
        <v>294</v>
      </c>
      <c r="C99" s="335">
        <v>3608541.4841999998</v>
      </c>
      <c r="D99" s="336">
        <v>573190</v>
      </c>
      <c r="E99" s="336">
        <v>37165</v>
      </c>
      <c r="F99" s="337"/>
      <c r="G99" s="338">
        <v>0</v>
      </c>
      <c r="H99" s="338">
        <f t="shared" si="3"/>
        <v>1193916</v>
      </c>
      <c r="I99" s="336">
        <v>529852</v>
      </c>
      <c r="J99" s="337"/>
      <c r="K99" s="338">
        <f t="shared" si="4"/>
        <v>1274419</v>
      </c>
      <c r="L99" s="336">
        <f t="shared" si="5"/>
        <v>2468335</v>
      </c>
    </row>
    <row r="100" spans="1:12" ht="13.5" customHeight="1" x14ac:dyDescent="0.35">
      <c r="A100" s="334">
        <v>43002</v>
      </c>
      <c r="B100" s="334" t="s">
        <v>295</v>
      </c>
      <c r="C100" s="335">
        <v>1635214.671532847</v>
      </c>
      <c r="D100" s="336">
        <v>200594</v>
      </c>
      <c r="E100" s="336">
        <v>26061</v>
      </c>
      <c r="F100" s="337"/>
      <c r="G100" s="338">
        <v>0</v>
      </c>
      <c r="H100" s="338">
        <f t="shared" si="3"/>
        <v>590952</v>
      </c>
      <c r="I100" s="336">
        <v>194396</v>
      </c>
      <c r="J100" s="337"/>
      <c r="K100" s="338">
        <f t="shared" si="4"/>
        <v>623211</v>
      </c>
      <c r="L100" s="336">
        <f t="shared" si="5"/>
        <v>1214163</v>
      </c>
    </row>
    <row r="101" spans="1:12" ht="13.5" customHeight="1" x14ac:dyDescent="0.35">
      <c r="A101" s="334">
        <v>17003</v>
      </c>
      <c r="B101" s="334" t="s">
        <v>296</v>
      </c>
      <c r="C101" s="335">
        <v>1366002.5000000002</v>
      </c>
      <c r="D101" s="336">
        <v>239338</v>
      </c>
      <c r="E101" s="336">
        <v>33378</v>
      </c>
      <c r="F101" s="337"/>
      <c r="G101" s="338">
        <v>0</v>
      </c>
      <c r="H101" s="338">
        <f t="shared" si="3"/>
        <v>410285</v>
      </c>
      <c r="I101" s="336">
        <v>244528</v>
      </c>
      <c r="J101" s="337"/>
      <c r="K101" s="338">
        <f t="shared" si="4"/>
        <v>438473</v>
      </c>
      <c r="L101" s="336">
        <f t="shared" si="5"/>
        <v>848758</v>
      </c>
    </row>
    <row r="102" spans="1:12" ht="13.5" customHeight="1" x14ac:dyDescent="0.35">
      <c r="A102" s="334">
        <v>51003</v>
      </c>
      <c r="B102" s="334" t="s">
        <v>297</v>
      </c>
      <c r="C102" s="335">
        <v>1633227.7764277034</v>
      </c>
      <c r="D102" s="336">
        <v>159485</v>
      </c>
      <c r="E102" s="336">
        <v>16944</v>
      </c>
      <c r="F102" s="337"/>
      <c r="G102" s="338">
        <v>0</v>
      </c>
      <c r="H102" s="338">
        <f t="shared" si="3"/>
        <v>640185</v>
      </c>
      <c r="I102" s="336">
        <v>158766</v>
      </c>
      <c r="J102" s="337"/>
      <c r="K102" s="338">
        <f t="shared" si="4"/>
        <v>657848</v>
      </c>
      <c r="L102" s="336">
        <f t="shared" si="5"/>
        <v>1298033</v>
      </c>
    </row>
    <row r="103" spans="1:12" ht="13.5" customHeight="1" x14ac:dyDescent="0.35">
      <c r="A103" s="334">
        <v>9002</v>
      </c>
      <c r="B103" s="334" t="s">
        <v>298</v>
      </c>
      <c r="C103" s="335">
        <v>1915060.7135324925</v>
      </c>
      <c r="D103" s="336">
        <v>298444</v>
      </c>
      <c r="E103" s="336">
        <v>33626</v>
      </c>
      <c r="F103" s="337"/>
      <c r="G103" s="338">
        <v>0</v>
      </c>
      <c r="H103" s="338">
        <f t="shared" si="3"/>
        <v>625460</v>
      </c>
      <c r="I103" s="336">
        <v>307507</v>
      </c>
      <c r="J103" s="337"/>
      <c r="K103" s="338">
        <f t="shared" si="4"/>
        <v>650023</v>
      </c>
      <c r="L103" s="336">
        <f t="shared" si="5"/>
        <v>1275483</v>
      </c>
    </row>
    <row r="104" spans="1:12" ht="13.5" customHeight="1" x14ac:dyDescent="0.35">
      <c r="A104" s="334">
        <v>56007</v>
      </c>
      <c r="B104" s="334" t="s">
        <v>299</v>
      </c>
      <c r="C104" s="335">
        <v>1524683.7984019667</v>
      </c>
      <c r="D104" s="336">
        <v>646027</v>
      </c>
      <c r="E104" s="336">
        <v>103927</v>
      </c>
      <c r="F104" s="337"/>
      <c r="G104" s="338">
        <v>0</v>
      </c>
      <c r="H104" s="338">
        <f t="shared" si="3"/>
        <v>12388</v>
      </c>
      <c r="I104" s="336">
        <v>711158</v>
      </c>
      <c r="J104" s="337"/>
      <c r="K104" s="338">
        <f t="shared" si="4"/>
        <v>51184</v>
      </c>
      <c r="L104" s="336">
        <f t="shared" si="5"/>
        <v>63572</v>
      </c>
    </row>
    <row r="105" spans="1:12" ht="13.5" customHeight="1" x14ac:dyDescent="0.35">
      <c r="A105" s="334">
        <v>23003</v>
      </c>
      <c r="B105" s="334" t="s">
        <v>300</v>
      </c>
      <c r="C105" s="335">
        <v>928881.7</v>
      </c>
      <c r="D105" s="336">
        <v>61275</v>
      </c>
      <c r="E105" s="336">
        <v>0</v>
      </c>
      <c r="F105" s="337"/>
      <c r="G105" s="338">
        <v>0</v>
      </c>
      <c r="H105" s="338">
        <f t="shared" si="3"/>
        <v>403166</v>
      </c>
      <c r="I105" s="336">
        <v>64896</v>
      </c>
      <c r="J105" s="337"/>
      <c r="K105" s="338">
        <f t="shared" si="4"/>
        <v>399545</v>
      </c>
      <c r="L105" s="336">
        <f t="shared" si="5"/>
        <v>802711</v>
      </c>
    </row>
    <row r="106" spans="1:12" ht="13.5" customHeight="1" x14ac:dyDescent="0.35">
      <c r="A106" s="334">
        <v>65001</v>
      </c>
      <c r="B106" s="334" t="s">
        <v>373</v>
      </c>
      <c r="C106" s="335">
        <v>7703161.2979999995</v>
      </c>
      <c r="D106" s="336">
        <v>43473</v>
      </c>
      <c r="E106" s="336">
        <v>5724</v>
      </c>
      <c r="F106" s="337"/>
      <c r="G106" s="338">
        <v>0</v>
      </c>
      <c r="H106" s="338">
        <f t="shared" si="3"/>
        <v>3802384</v>
      </c>
      <c r="I106" s="336">
        <v>47763</v>
      </c>
      <c r="J106" s="337"/>
      <c r="K106" s="338">
        <f t="shared" si="4"/>
        <v>3803818</v>
      </c>
      <c r="L106" s="336">
        <f t="shared" si="5"/>
        <v>7606202</v>
      </c>
    </row>
    <row r="107" spans="1:12" ht="13.5" customHeight="1" x14ac:dyDescent="0.35">
      <c r="A107" s="334">
        <v>39005</v>
      </c>
      <c r="B107" s="334" t="s">
        <v>302</v>
      </c>
      <c r="C107" s="335">
        <v>1101339.515625</v>
      </c>
      <c r="D107" s="336">
        <v>252991</v>
      </c>
      <c r="E107" s="336">
        <v>26092</v>
      </c>
      <c r="F107" s="337"/>
      <c r="G107" s="338">
        <v>0</v>
      </c>
      <c r="H107" s="338">
        <f t="shared" si="3"/>
        <v>271587</v>
      </c>
      <c r="I107" s="336">
        <v>272213</v>
      </c>
      <c r="J107" s="337"/>
      <c r="K107" s="338">
        <f t="shared" si="4"/>
        <v>278457</v>
      </c>
      <c r="L107" s="336">
        <f t="shared" si="5"/>
        <v>550044</v>
      </c>
    </row>
    <row r="108" spans="1:12" ht="13.5" customHeight="1" x14ac:dyDescent="0.35">
      <c r="A108" s="334">
        <v>60004</v>
      </c>
      <c r="B108" s="334" t="s">
        <v>303</v>
      </c>
      <c r="C108" s="335">
        <v>2524739.0901594283</v>
      </c>
      <c r="D108" s="336">
        <v>405361</v>
      </c>
      <c r="E108" s="336">
        <v>41385</v>
      </c>
      <c r="F108" s="337"/>
      <c r="G108" s="338">
        <v>0</v>
      </c>
      <c r="H108" s="338">
        <f t="shared" si="3"/>
        <v>815624</v>
      </c>
      <c r="I108" s="336">
        <v>409463</v>
      </c>
      <c r="J108" s="337"/>
      <c r="K108" s="338">
        <f t="shared" si="4"/>
        <v>852907</v>
      </c>
      <c r="L108" s="336">
        <f t="shared" si="5"/>
        <v>1668531</v>
      </c>
    </row>
    <row r="109" spans="1:12" ht="13.5" customHeight="1" x14ac:dyDescent="0.35">
      <c r="A109" s="334">
        <v>33003</v>
      </c>
      <c r="B109" s="334" t="s">
        <v>304</v>
      </c>
      <c r="C109" s="335">
        <v>2977978.6033340516</v>
      </c>
      <c r="D109" s="336">
        <v>511570</v>
      </c>
      <c r="E109" s="336">
        <v>65384</v>
      </c>
      <c r="F109" s="337"/>
      <c r="G109" s="338">
        <v>57279.216830000005</v>
      </c>
      <c r="H109" s="338">
        <f t="shared" si="3"/>
        <v>940675</v>
      </c>
      <c r="I109" s="336">
        <v>540567</v>
      </c>
      <c r="J109" s="337"/>
      <c r="K109" s="338">
        <f t="shared" si="4"/>
        <v>977062</v>
      </c>
      <c r="L109" s="336">
        <f t="shared" si="5"/>
        <v>1917737</v>
      </c>
    </row>
    <row r="110" spans="1:12" ht="13.5" customHeight="1" x14ac:dyDescent="0.35">
      <c r="A110" s="334">
        <v>32002</v>
      </c>
      <c r="B110" s="334" t="s">
        <v>305</v>
      </c>
      <c r="C110" s="335">
        <v>14661469.182399999</v>
      </c>
      <c r="D110" s="336">
        <v>2944295</v>
      </c>
      <c r="E110" s="336">
        <v>176916</v>
      </c>
      <c r="F110" s="337"/>
      <c r="G110" s="338">
        <v>0</v>
      </c>
      <c r="H110" s="338">
        <f t="shared" si="3"/>
        <v>4209524</v>
      </c>
      <c r="I110" s="336">
        <v>2858413</v>
      </c>
      <c r="J110" s="337"/>
      <c r="K110" s="338">
        <f t="shared" si="4"/>
        <v>4472322</v>
      </c>
      <c r="L110" s="336">
        <f t="shared" si="5"/>
        <v>8681846</v>
      </c>
    </row>
    <row r="111" spans="1:12" ht="13.5" customHeight="1" x14ac:dyDescent="0.35">
      <c r="A111" s="334">
        <v>1001</v>
      </c>
      <c r="B111" s="334" t="s">
        <v>306</v>
      </c>
      <c r="C111" s="335">
        <v>2035515.3949730701</v>
      </c>
      <c r="D111" s="336">
        <v>310408</v>
      </c>
      <c r="E111" s="336">
        <v>43596</v>
      </c>
      <c r="F111" s="337"/>
      <c r="G111" s="338">
        <v>58814.603640000001</v>
      </c>
      <c r="H111" s="338">
        <f t="shared" si="3"/>
        <v>693161</v>
      </c>
      <c r="I111" s="336">
        <v>329206</v>
      </c>
      <c r="J111" s="337"/>
      <c r="K111" s="338">
        <f t="shared" si="4"/>
        <v>717959</v>
      </c>
      <c r="L111" s="336">
        <f t="shared" si="5"/>
        <v>1411120</v>
      </c>
    </row>
    <row r="112" spans="1:12" ht="13.5" customHeight="1" x14ac:dyDescent="0.35">
      <c r="A112" s="334">
        <v>11005</v>
      </c>
      <c r="B112" s="334" t="s">
        <v>307</v>
      </c>
      <c r="C112" s="335">
        <v>2887636.4582543895</v>
      </c>
      <c r="D112" s="336">
        <v>733500</v>
      </c>
      <c r="E112" s="336">
        <v>90629</v>
      </c>
      <c r="F112" s="337"/>
      <c r="G112" s="338">
        <v>0</v>
      </c>
      <c r="H112" s="338">
        <f t="shared" si="3"/>
        <v>619689</v>
      </c>
      <c r="I112" s="336">
        <v>803278</v>
      </c>
      <c r="J112" s="337"/>
      <c r="K112" s="338">
        <f t="shared" si="4"/>
        <v>640540</v>
      </c>
      <c r="L112" s="336">
        <f t="shared" si="5"/>
        <v>1260229</v>
      </c>
    </row>
    <row r="113" spans="1:12" ht="13.5" customHeight="1" x14ac:dyDescent="0.35">
      <c r="A113" s="334">
        <v>51004</v>
      </c>
      <c r="B113" s="334" t="s">
        <v>372</v>
      </c>
      <c r="C113" s="335">
        <v>74704304.9252</v>
      </c>
      <c r="D113" s="336">
        <v>19199906</v>
      </c>
      <c r="E113" s="336">
        <v>976957</v>
      </c>
      <c r="F113" s="337"/>
      <c r="G113" s="338">
        <v>0</v>
      </c>
      <c r="H113" s="338">
        <f t="shared" si="3"/>
        <v>17175289</v>
      </c>
      <c r="I113" s="336">
        <v>18102662</v>
      </c>
      <c r="J113" s="337"/>
      <c r="K113" s="338">
        <f t="shared" si="4"/>
        <v>19249490</v>
      </c>
      <c r="L113" s="336">
        <f t="shared" si="5"/>
        <v>36424779</v>
      </c>
    </row>
    <row r="114" spans="1:12" ht="13.5" customHeight="1" x14ac:dyDescent="0.35">
      <c r="A114" s="334">
        <v>56004</v>
      </c>
      <c r="B114" s="334" t="s">
        <v>309</v>
      </c>
      <c r="C114" s="335">
        <v>3373206.5734999999</v>
      </c>
      <c r="D114" s="336">
        <v>621386</v>
      </c>
      <c r="E114" s="336">
        <v>73193</v>
      </c>
      <c r="F114" s="337"/>
      <c r="G114" s="338">
        <v>0</v>
      </c>
      <c r="H114" s="338">
        <f t="shared" si="3"/>
        <v>992024</v>
      </c>
      <c r="I114" s="336">
        <v>643603</v>
      </c>
      <c r="J114" s="337"/>
      <c r="K114" s="338">
        <f t="shared" si="4"/>
        <v>1043000</v>
      </c>
      <c r="L114" s="336">
        <f t="shared" si="5"/>
        <v>2035024</v>
      </c>
    </row>
    <row r="115" spans="1:12" ht="13.5" customHeight="1" x14ac:dyDescent="0.35">
      <c r="A115" s="334">
        <v>54004</v>
      </c>
      <c r="B115" s="334" t="s">
        <v>310</v>
      </c>
      <c r="C115" s="335">
        <v>1549645.5616942912</v>
      </c>
      <c r="D115" s="336">
        <v>182730</v>
      </c>
      <c r="E115" s="336">
        <v>25862</v>
      </c>
      <c r="F115" s="337"/>
      <c r="G115" s="338">
        <v>0</v>
      </c>
      <c r="H115" s="338">
        <f t="shared" si="3"/>
        <v>566231</v>
      </c>
      <c r="I115" s="336">
        <v>190574</v>
      </c>
      <c r="J115" s="337"/>
      <c r="K115" s="338">
        <f t="shared" si="4"/>
        <v>584249</v>
      </c>
      <c r="L115" s="336">
        <f t="shared" si="5"/>
        <v>1150480</v>
      </c>
    </row>
    <row r="116" spans="1:12" ht="13.5" customHeight="1" x14ac:dyDescent="0.35">
      <c r="A116" s="334">
        <v>39004</v>
      </c>
      <c r="B116" s="334" t="s">
        <v>311</v>
      </c>
      <c r="C116" s="335">
        <v>1118414.546875</v>
      </c>
      <c r="D116" s="336">
        <v>171412</v>
      </c>
      <c r="E116" s="336">
        <v>22533</v>
      </c>
      <c r="F116" s="337"/>
      <c r="G116" s="338">
        <v>0</v>
      </c>
      <c r="H116" s="338">
        <f t="shared" si="3"/>
        <v>365262</v>
      </c>
      <c r="I116" s="336">
        <v>184672</v>
      </c>
      <c r="J116" s="337"/>
      <c r="K116" s="338">
        <f t="shared" si="4"/>
        <v>374535</v>
      </c>
      <c r="L116" s="336">
        <f t="shared" si="5"/>
        <v>739797</v>
      </c>
    </row>
    <row r="117" spans="1:12" ht="13.5" customHeight="1" x14ac:dyDescent="0.35">
      <c r="A117" s="334">
        <v>55005</v>
      </c>
      <c r="B117" s="334" t="s">
        <v>312</v>
      </c>
      <c r="C117" s="335">
        <v>1306239.890625</v>
      </c>
      <c r="D117" s="336">
        <v>351851</v>
      </c>
      <c r="E117" s="336">
        <v>35713</v>
      </c>
      <c r="F117" s="337"/>
      <c r="G117" s="338">
        <v>0</v>
      </c>
      <c r="H117" s="338">
        <f t="shared" si="3"/>
        <v>265556</v>
      </c>
      <c r="I117" s="336">
        <v>361813</v>
      </c>
      <c r="J117" s="337"/>
      <c r="K117" s="338">
        <f t="shared" si="4"/>
        <v>291307</v>
      </c>
      <c r="L117" s="336">
        <f t="shared" si="5"/>
        <v>556863</v>
      </c>
    </row>
    <row r="118" spans="1:12" ht="13.5" customHeight="1" x14ac:dyDescent="0.35">
      <c r="A118" s="334">
        <v>4003</v>
      </c>
      <c r="B118" s="334" t="s">
        <v>313</v>
      </c>
      <c r="C118" s="335">
        <v>1751957.6154769047</v>
      </c>
      <c r="D118" s="336">
        <v>341577</v>
      </c>
      <c r="E118" s="336">
        <v>48110</v>
      </c>
      <c r="F118" s="337"/>
      <c r="G118" s="338">
        <v>0</v>
      </c>
      <c r="H118" s="338">
        <f t="shared" si="3"/>
        <v>486292</v>
      </c>
      <c r="I118" s="336">
        <v>364052</v>
      </c>
      <c r="J118" s="337"/>
      <c r="K118" s="338">
        <f t="shared" si="4"/>
        <v>511927</v>
      </c>
      <c r="L118" s="336">
        <f t="shared" si="5"/>
        <v>998219</v>
      </c>
    </row>
    <row r="119" spans="1:12" ht="13.5" customHeight="1" x14ac:dyDescent="0.35">
      <c r="A119" s="334">
        <v>62005</v>
      </c>
      <c r="B119" s="334" t="s">
        <v>371</v>
      </c>
      <c r="C119" s="335">
        <v>1318192.4124999999</v>
      </c>
      <c r="D119" s="336">
        <v>543976</v>
      </c>
      <c r="E119" s="336">
        <v>20144</v>
      </c>
      <c r="F119" s="337"/>
      <c r="G119" s="338">
        <v>0</v>
      </c>
      <c r="H119" s="338">
        <f t="shared" si="3"/>
        <v>94976</v>
      </c>
      <c r="I119" s="336">
        <v>577570</v>
      </c>
      <c r="J119" s="337"/>
      <c r="K119" s="338">
        <f t="shared" si="4"/>
        <v>81526</v>
      </c>
      <c r="L119" s="336">
        <f t="shared" si="5"/>
        <v>176502</v>
      </c>
    </row>
    <row r="120" spans="1:12" ht="13.5" customHeight="1" x14ac:dyDescent="0.35">
      <c r="A120" s="334">
        <v>49005</v>
      </c>
      <c r="B120" s="334" t="s">
        <v>315</v>
      </c>
      <c r="C120" s="335">
        <v>131348778.5616</v>
      </c>
      <c r="D120" s="336">
        <v>30374276</v>
      </c>
      <c r="E120" s="336">
        <v>1486101</v>
      </c>
      <c r="F120" s="337"/>
      <c r="G120" s="338">
        <v>98068.051480000009</v>
      </c>
      <c r="H120" s="338">
        <f t="shared" si="3"/>
        <v>33863046</v>
      </c>
      <c r="I120" s="336">
        <v>28402856</v>
      </c>
      <c r="J120" s="337"/>
      <c r="K120" s="338">
        <f t="shared" si="4"/>
        <v>37320567</v>
      </c>
      <c r="L120" s="336">
        <f t="shared" si="5"/>
        <v>71183613</v>
      </c>
    </row>
    <row r="121" spans="1:12" ht="13.5" customHeight="1" x14ac:dyDescent="0.35">
      <c r="A121" s="334">
        <v>5005</v>
      </c>
      <c r="B121" s="334" t="s">
        <v>316</v>
      </c>
      <c r="C121" s="335">
        <v>3696949.1660000002</v>
      </c>
      <c r="D121" s="336">
        <v>624016</v>
      </c>
      <c r="E121" s="336">
        <v>55954</v>
      </c>
      <c r="F121" s="337"/>
      <c r="G121" s="338">
        <v>0</v>
      </c>
      <c r="H121" s="338">
        <f t="shared" si="3"/>
        <v>1168505</v>
      </c>
      <c r="I121" s="336">
        <v>611681</v>
      </c>
      <c r="J121" s="337"/>
      <c r="K121" s="338">
        <f t="shared" si="4"/>
        <v>1236794</v>
      </c>
      <c r="L121" s="336">
        <f t="shared" si="5"/>
        <v>2405299</v>
      </c>
    </row>
    <row r="122" spans="1:12" ht="13.5" customHeight="1" x14ac:dyDescent="0.35">
      <c r="A122" s="334">
        <v>54002</v>
      </c>
      <c r="B122" s="334" t="s">
        <v>317</v>
      </c>
      <c r="C122" s="335">
        <v>4908046.9824999999</v>
      </c>
      <c r="D122" s="336">
        <v>779949</v>
      </c>
      <c r="E122" s="336">
        <v>0</v>
      </c>
      <c r="F122" s="337"/>
      <c r="G122" s="338">
        <v>0</v>
      </c>
      <c r="H122" s="338">
        <f t="shared" si="3"/>
        <v>1674074</v>
      </c>
      <c r="I122" s="336">
        <v>816530</v>
      </c>
      <c r="J122" s="337"/>
      <c r="K122" s="338">
        <f t="shared" si="4"/>
        <v>1637493</v>
      </c>
      <c r="L122" s="336">
        <f t="shared" si="5"/>
        <v>3311567</v>
      </c>
    </row>
    <row r="123" spans="1:12" ht="13.5" customHeight="1" x14ac:dyDescent="0.35">
      <c r="A123" s="334">
        <v>15003</v>
      </c>
      <c r="B123" s="334" t="s">
        <v>318</v>
      </c>
      <c r="C123" s="335">
        <v>1190129.6781249999</v>
      </c>
      <c r="D123" s="336">
        <v>8352</v>
      </c>
      <c r="E123" s="336">
        <v>1256</v>
      </c>
      <c r="F123" s="337"/>
      <c r="G123" s="338">
        <v>0</v>
      </c>
      <c r="H123" s="338">
        <f t="shared" si="3"/>
        <v>585457</v>
      </c>
      <c r="I123" s="336">
        <v>9056</v>
      </c>
      <c r="J123" s="337"/>
      <c r="K123" s="338">
        <f t="shared" si="4"/>
        <v>586009</v>
      </c>
      <c r="L123" s="336">
        <f t="shared" si="5"/>
        <v>1171466</v>
      </c>
    </row>
    <row r="124" spans="1:12" ht="13.5" customHeight="1" x14ac:dyDescent="0.35">
      <c r="A124" s="334">
        <v>26005</v>
      </c>
      <c r="B124" s="334" t="s">
        <v>319</v>
      </c>
      <c r="C124" s="335">
        <v>662511.21250000014</v>
      </c>
      <c r="D124" s="336">
        <v>125481</v>
      </c>
      <c r="E124" s="336">
        <v>17786</v>
      </c>
      <c r="F124" s="337"/>
      <c r="G124" s="338">
        <v>0</v>
      </c>
      <c r="H124" s="338">
        <f t="shared" si="3"/>
        <v>187989</v>
      </c>
      <c r="I124" s="336">
        <v>138514</v>
      </c>
      <c r="J124" s="337"/>
      <c r="K124" s="338">
        <f t="shared" si="4"/>
        <v>192742</v>
      </c>
      <c r="L124" s="336">
        <f t="shared" si="5"/>
        <v>380731</v>
      </c>
    </row>
    <row r="125" spans="1:12" ht="13.5" customHeight="1" x14ac:dyDescent="0.35">
      <c r="A125" s="334">
        <v>40002</v>
      </c>
      <c r="B125" s="334" t="s">
        <v>320</v>
      </c>
      <c r="C125" s="335">
        <v>12727591.693499999</v>
      </c>
      <c r="D125" s="336">
        <v>3396038</v>
      </c>
      <c r="E125" s="336">
        <v>182935</v>
      </c>
      <c r="F125" s="337"/>
      <c r="G125" s="338">
        <v>63043.747380000001</v>
      </c>
      <c r="H125" s="338">
        <f t="shared" si="3"/>
        <v>2816345</v>
      </c>
      <c r="I125" s="336">
        <v>3129164</v>
      </c>
      <c r="J125" s="339">
        <v>-192619.5</v>
      </c>
      <c r="K125" s="338">
        <f t="shared" si="4"/>
        <v>3073534</v>
      </c>
      <c r="L125" s="336">
        <f t="shared" si="5"/>
        <v>5889879</v>
      </c>
    </row>
    <row r="126" spans="1:12" ht="13.5" customHeight="1" x14ac:dyDescent="0.35">
      <c r="A126" s="334">
        <v>57001</v>
      </c>
      <c r="B126" s="334" t="s">
        <v>321</v>
      </c>
      <c r="C126" s="335">
        <v>2595107.1459694989</v>
      </c>
      <c r="D126" s="336">
        <v>863565</v>
      </c>
      <c r="E126" s="336">
        <v>73864</v>
      </c>
      <c r="F126" s="337"/>
      <c r="G126" s="338">
        <v>0</v>
      </c>
      <c r="H126" s="338">
        <f t="shared" si="3"/>
        <v>360125</v>
      </c>
      <c r="I126" s="336">
        <v>802141</v>
      </c>
      <c r="J126" s="337"/>
      <c r="K126" s="338">
        <f t="shared" si="4"/>
        <v>495413</v>
      </c>
      <c r="L126" s="336">
        <f t="shared" si="5"/>
        <v>855538</v>
      </c>
    </row>
    <row r="127" spans="1:12" ht="13.5" customHeight="1" x14ac:dyDescent="0.35">
      <c r="A127" s="334">
        <v>54006</v>
      </c>
      <c r="B127" s="334" t="s">
        <v>322</v>
      </c>
      <c r="C127" s="335">
        <v>986936.80625000002</v>
      </c>
      <c r="D127" s="336">
        <v>113323</v>
      </c>
      <c r="E127" s="336">
        <v>16408</v>
      </c>
      <c r="F127" s="337"/>
      <c r="G127" s="338">
        <v>0</v>
      </c>
      <c r="H127" s="338">
        <f t="shared" si="3"/>
        <v>363737</v>
      </c>
      <c r="I127" s="336">
        <v>126032</v>
      </c>
      <c r="J127" s="337"/>
      <c r="K127" s="338">
        <f t="shared" si="4"/>
        <v>367436</v>
      </c>
      <c r="L127" s="336">
        <f t="shared" si="5"/>
        <v>731173</v>
      </c>
    </row>
    <row r="128" spans="1:12" ht="14.25" customHeight="1" x14ac:dyDescent="0.35">
      <c r="A128" s="334">
        <v>41005</v>
      </c>
      <c r="B128" s="334" t="s">
        <v>323</v>
      </c>
      <c r="C128" s="335">
        <v>9351707.7551000006</v>
      </c>
      <c r="D128" s="336">
        <v>1058355</v>
      </c>
      <c r="E128" s="336">
        <v>61893</v>
      </c>
      <c r="F128" s="337"/>
      <c r="G128" s="338">
        <v>0</v>
      </c>
      <c r="H128" s="338">
        <f t="shared" si="3"/>
        <v>3555606</v>
      </c>
      <c r="I128" s="336">
        <v>1164824</v>
      </c>
      <c r="J128" s="337"/>
      <c r="K128" s="338">
        <f t="shared" si="4"/>
        <v>3511030</v>
      </c>
      <c r="L128" s="336">
        <f t="shared" si="5"/>
        <v>7066636</v>
      </c>
    </row>
    <row r="129" spans="1:12" ht="13.5" customHeight="1" x14ac:dyDescent="0.35">
      <c r="A129" s="334">
        <v>20003</v>
      </c>
      <c r="B129" s="334" t="s">
        <v>324</v>
      </c>
      <c r="C129" s="335">
        <v>2130304.0713053476</v>
      </c>
      <c r="D129" s="336">
        <v>159923</v>
      </c>
      <c r="E129" s="336">
        <v>0</v>
      </c>
      <c r="F129" s="337"/>
      <c r="G129" s="338">
        <v>0</v>
      </c>
      <c r="H129" s="338">
        <f t="shared" si="3"/>
        <v>905229</v>
      </c>
      <c r="I129" s="336">
        <v>180354</v>
      </c>
      <c r="J129" s="337"/>
      <c r="K129" s="338">
        <f t="shared" si="4"/>
        <v>884798</v>
      </c>
      <c r="L129" s="336">
        <f t="shared" si="5"/>
        <v>1790027</v>
      </c>
    </row>
    <row r="130" spans="1:12" ht="13.5" customHeight="1" x14ac:dyDescent="0.35">
      <c r="A130" s="334">
        <v>66001</v>
      </c>
      <c r="B130" s="334" t="s">
        <v>325</v>
      </c>
      <c r="C130" s="335">
        <v>11183626.293099999</v>
      </c>
      <c r="D130" s="336">
        <v>184381</v>
      </c>
      <c r="E130" s="336">
        <v>24031</v>
      </c>
      <c r="F130" s="337"/>
      <c r="G130" s="338">
        <v>0</v>
      </c>
      <c r="H130" s="338">
        <f t="shared" ref="H130:H151" si="6">IF((0.5*C130)-D130-E130+F130+(0.5*G130)&lt;0,0,ROUND((0.5*C130)-D130-E130+F130+(0.5*G130),0))</f>
        <v>5383401</v>
      </c>
      <c r="I130" s="336">
        <v>186787</v>
      </c>
      <c r="J130" s="337"/>
      <c r="K130" s="338">
        <f t="shared" ref="K130:K151" si="7">IF((0.5*C130)-I130+J130+(0.5*G130)&lt;0,0,ROUND((0.5*C130)-I130+J130+(0.5*G130),0))</f>
        <v>5405026</v>
      </c>
      <c r="L130" s="336">
        <f t="shared" ref="L130:L151" si="8">H130+K130</f>
        <v>10788427</v>
      </c>
    </row>
    <row r="131" spans="1:12" ht="13.5" customHeight="1" x14ac:dyDescent="0.35">
      <c r="A131" s="334">
        <v>33005</v>
      </c>
      <c r="B131" s="334" t="s">
        <v>326</v>
      </c>
      <c r="C131" s="335">
        <v>1038161.9000000001</v>
      </c>
      <c r="D131" s="336">
        <v>347064</v>
      </c>
      <c r="E131" s="336">
        <v>25079</v>
      </c>
      <c r="F131" s="337"/>
      <c r="G131" s="338">
        <v>0</v>
      </c>
      <c r="H131" s="338">
        <f t="shared" si="6"/>
        <v>146938</v>
      </c>
      <c r="I131" s="336">
        <v>365486</v>
      </c>
      <c r="J131" s="337"/>
      <c r="K131" s="338">
        <f t="shared" si="7"/>
        <v>153595</v>
      </c>
      <c r="L131" s="336">
        <f t="shared" si="8"/>
        <v>300533</v>
      </c>
    </row>
    <row r="132" spans="1:12" ht="13.5" customHeight="1" x14ac:dyDescent="0.35">
      <c r="A132" s="334">
        <v>49006</v>
      </c>
      <c r="B132" s="334" t="s">
        <v>327</v>
      </c>
      <c r="C132" s="335">
        <v>4977713.1100000003</v>
      </c>
      <c r="D132" s="336">
        <v>998454</v>
      </c>
      <c r="E132" s="336">
        <v>74569</v>
      </c>
      <c r="F132" s="337"/>
      <c r="G132" s="338">
        <v>0</v>
      </c>
      <c r="H132" s="338">
        <f t="shared" si="6"/>
        <v>1415834</v>
      </c>
      <c r="I132" s="336">
        <v>987930</v>
      </c>
      <c r="J132" s="337"/>
      <c r="K132" s="338">
        <f t="shared" si="7"/>
        <v>1500927</v>
      </c>
      <c r="L132" s="336">
        <f t="shared" si="8"/>
        <v>2916761</v>
      </c>
    </row>
    <row r="133" spans="1:12" ht="13.5" customHeight="1" x14ac:dyDescent="0.35">
      <c r="A133" s="334">
        <v>13001</v>
      </c>
      <c r="B133" s="334" t="s">
        <v>328</v>
      </c>
      <c r="C133" s="335">
        <v>6576427.7958999984</v>
      </c>
      <c r="D133" s="336">
        <v>1504428</v>
      </c>
      <c r="E133" s="336">
        <v>100359</v>
      </c>
      <c r="F133" s="337"/>
      <c r="G133" s="338">
        <v>0</v>
      </c>
      <c r="H133" s="338">
        <f t="shared" si="6"/>
        <v>1683427</v>
      </c>
      <c r="I133" s="336">
        <v>1415850</v>
      </c>
      <c r="J133" s="337"/>
      <c r="K133" s="338">
        <f t="shared" si="7"/>
        <v>1872364</v>
      </c>
      <c r="L133" s="336">
        <f t="shared" si="8"/>
        <v>3555791</v>
      </c>
    </row>
    <row r="134" spans="1:12" ht="13.5" customHeight="1" x14ac:dyDescent="0.35">
      <c r="A134" s="334">
        <v>60006</v>
      </c>
      <c r="B134" s="334" t="s">
        <v>370</v>
      </c>
      <c r="C134" s="335">
        <v>2219559.3643101482</v>
      </c>
      <c r="D134" s="336">
        <v>450249</v>
      </c>
      <c r="E134" s="336">
        <v>52856</v>
      </c>
      <c r="F134" s="337"/>
      <c r="G134" s="338">
        <v>0</v>
      </c>
      <c r="H134" s="338">
        <f t="shared" si="6"/>
        <v>606675</v>
      </c>
      <c r="I134" s="336">
        <v>470580</v>
      </c>
      <c r="J134" s="337"/>
      <c r="K134" s="338">
        <f t="shared" si="7"/>
        <v>639200</v>
      </c>
      <c r="L134" s="336">
        <f t="shared" si="8"/>
        <v>1245875</v>
      </c>
    </row>
    <row r="135" spans="1:12" ht="13.5" customHeight="1" x14ac:dyDescent="0.35">
      <c r="A135" s="334">
        <v>11004</v>
      </c>
      <c r="B135" s="334" t="s">
        <v>369</v>
      </c>
      <c r="C135" s="335">
        <v>4660800.53</v>
      </c>
      <c r="D135" s="336">
        <v>419842</v>
      </c>
      <c r="E135" s="336">
        <v>49062</v>
      </c>
      <c r="F135" s="337"/>
      <c r="G135" s="338">
        <v>0</v>
      </c>
      <c r="H135" s="338">
        <f t="shared" si="6"/>
        <v>1861496</v>
      </c>
      <c r="I135" s="336">
        <v>444185</v>
      </c>
      <c r="J135" s="337"/>
      <c r="K135" s="338">
        <f t="shared" si="7"/>
        <v>1886215</v>
      </c>
      <c r="L135" s="336">
        <f t="shared" si="8"/>
        <v>3747711</v>
      </c>
    </row>
    <row r="136" spans="1:12" ht="13.5" customHeight="1" x14ac:dyDescent="0.35">
      <c r="A136" s="334">
        <v>51005</v>
      </c>
      <c r="B136" s="334" t="s">
        <v>331</v>
      </c>
      <c r="C136" s="335">
        <v>1627577.4468085105</v>
      </c>
      <c r="D136" s="336">
        <v>352517</v>
      </c>
      <c r="E136" s="336">
        <v>0</v>
      </c>
      <c r="F136" s="337"/>
      <c r="G136" s="338">
        <v>0</v>
      </c>
      <c r="H136" s="338">
        <f t="shared" si="6"/>
        <v>461272</v>
      </c>
      <c r="I136" s="336">
        <v>353537</v>
      </c>
      <c r="J136" s="337"/>
      <c r="K136" s="338">
        <f t="shared" si="7"/>
        <v>460252</v>
      </c>
      <c r="L136" s="336">
        <f t="shared" si="8"/>
        <v>921524</v>
      </c>
    </row>
    <row r="137" spans="1:12" ht="13.5" customHeight="1" x14ac:dyDescent="0.35">
      <c r="A137" s="334">
        <v>6005</v>
      </c>
      <c r="B137" s="334" t="s">
        <v>332</v>
      </c>
      <c r="C137" s="335">
        <v>2029534.8371146016</v>
      </c>
      <c r="D137" s="336">
        <v>281887</v>
      </c>
      <c r="E137" s="336">
        <v>36627</v>
      </c>
      <c r="F137" s="337"/>
      <c r="G137" s="338">
        <v>0</v>
      </c>
      <c r="H137" s="338">
        <f t="shared" si="6"/>
        <v>696253</v>
      </c>
      <c r="I137" s="336">
        <v>297038</v>
      </c>
      <c r="J137" s="337"/>
      <c r="K137" s="338">
        <f t="shared" si="7"/>
        <v>717729</v>
      </c>
      <c r="L137" s="336">
        <f t="shared" si="8"/>
        <v>1413982</v>
      </c>
    </row>
    <row r="138" spans="1:12" ht="13.5" customHeight="1" x14ac:dyDescent="0.35">
      <c r="A138" s="334">
        <v>14004</v>
      </c>
      <c r="B138" s="334" t="s">
        <v>333</v>
      </c>
      <c r="C138" s="335">
        <v>21599887.211200003</v>
      </c>
      <c r="D138" s="336">
        <v>4911298</v>
      </c>
      <c r="E138" s="336">
        <v>287349</v>
      </c>
      <c r="F138" s="337"/>
      <c r="G138" s="338">
        <v>0</v>
      </c>
      <c r="H138" s="338">
        <f t="shared" si="6"/>
        <v>5601297</v>
      </c>
      <c r="I138" s="336">
        <v>4613616</v>
      </c>
      <c r="J138" s="337"/>
      <c r="K138" s="338">
        <f t="shared" si="7"/>
        <v>6186328</v>
      </c>
      <c r="L138" s="336">
        <f t="shared" si="8"/>
        <v>11787625</v>
      </c>
    </row>
    <row r="139" spans="1:12" ht="13.5" customHeight="1" x14ac:dyDescent="0.35">
      <c r="A139" s="334">
        <v>18003</v>
      </c>
      <c r="B139" s="334" t="s">
        <v>334</v>
      </c>
      <c r="C139" s="335">
        <v>1154272.1125</v>
      </c>
      <c r="D139" s="336">
        <v>220837</v>
      </c>
      <c r="E139" s="336">
        <v>0</v>
      </c>
      <c r="F139" s="337"/>
      <c r="G139" s="338">
        <v>0</v>
      </c>
      <c r="H139" s="338">
        <f t="shared" si="6"/>
        <v>356299</v>
      </c>
      <c r="I139" s="336">
        <v>244559</v>
      </c>
      <c r="J139" s="337"/>
      <c r="K139" s="338">
        <f t="shared" si="7"/>
        <v>332577</v>
      </c>
      <c r="L139" s="336">
        <f t="shared" si="8"/>
        <v>688876</v>
      </c>
    </row>
    <row r="140" spans="1:12" ht="13.5" customHeight="1" x14ac:dyDescent="0.35">
      <c r="A140" s="334">
        <v>14005</v>
      </c>
      <c r="B140" s="334" t="s">
        <v>335</v>
      </c>
      <c r="C140" s="335">
        <v>1638871.2446873104</v>
      </c>
      <c r="D140" s="336">
        <v>224878</v>
      </c>
      <c r="E140" s="336">
        <v>16500</v>
      </c>
      <c r="F140" s="337"/>
      <c r="G140" s="338">
        <v>0</v>
      </c>
      <c r="H140" s="338">
        <f t="shared" si="6"/>
        <v>578058</v>
      </c>
      <c r="I140" s="336">
        <v>231106</v>
      </c>
      <c r="J140" s="337"/>
      <c r="K140" s="338">
        <f t="shared" si="7"/>
        <v>588330</v>
      </c>
      <c r="L140" s="336">
        <f t="shared" si="8"/>
        <v>1166388</v>
      </c>
    </row>
    <row r="141" spans="1:12" ht="13.5" customHeight="1" x14ac:dyDescent="0.35">
      <c r="A141" s="334">
        <v>18005</v>
      </c>
      <c r="B141" s="334" t="s">
        <v>336</v>
      </c>
      <c r="C141" s="335">
        <v>3114318.263534219</v>
      </c>
      <c r="D141" s="336">
        <v>899684</v>
      </c>
      <c r="E141" s="336">
        <v>75772</v>
      </c>
      <c r="F141" s="337"/>
      <c r="G141" s="338">
        <v>0</v>
      </c>
      <c r="H141" s="338">
        <f t="shared" si="6"/>
        <v>581703</v>
      </c>
      <c r="I141" s="336">
        <v>1036024</v>
      </c>
      <c r="J141" s="337"/>
      <c r="K141" s="338">
        <f t="shared" si="7"/>
        <v>521135</v>
      </c>
      <c r="L141" s="336">
        <f t="shared" si="8"/>
        <v>1102838</v>
      </c>
    </row>
    <row r="142" spans="1:12" ht="13.5" customHeight="1" x14ac:dyDescent="0.35">
      <c r="A142" s="334">
        <v>36002</v>
      </c>
      <c r="B142" s="334" t="s">
        <v>337</v>
      </c>
      <c r="C142" s="335">
        <v>2101177.456597222</v>
      </c>
      <c r="D142" s="336">
        <v>545934</v>
      </c>
      <c r="E142" s="336">
        <v>35083</v>
      </c>
      <c r="F142" s="337"/>
      <c r="G142" s="338">
        <v>0</v>
      </c>
      <c r="H142" s="338">
        <f t="shared" si="6"/>
        <v>469572</v>
      </c>
      <c r="I142" s="336">
        <v>587739</v>
      </c>
      <c r="J142" s="337"/>
      <c r="K142" s="338">
        <f t="shared" si="7"/>
        <v>462850</v>
      </c>
      <c r="L142" s="336">
        <f t="shared" si="8"/>
        <v>932422</v>
      </c>
    </row>
    <row r="143" spans="1:12" ht="13.5" customHeight="1" x14ac:dyDescent="0.35">
      <c r="A143" s="334">
        <v>49007</v>
      </c>
      <c r="B143" s="334" t="s">
        <v>338</v>
      </c>
      <c r="C143" s="335">
        <v>7505145.5755999982</v>
      </c>
      <c r="D143" s="336">
        <v>1097932</v>
      </c>
      <c r="E143" s="336">
        <v>81152</v>
      </c>
      <c r="F143" s="337"/>
      <c r="G143" s="338">
        <v>0</v>
      </c>
      <c r="H143" s="338">
        <f t="shared" si="6"/>
        <v>2573489</v>
      </c>
      <c r="I143" s="336">
        <v>1064363</v>
      </c>
      <c r="J143" s="337"/>
      <c r="K143" s="338">
        <f t="shared" si="7"/>
        <v>2688210</v>
      </c>
      <c r="L143" s="336">
        <f t="shared" si="8"/>
        <v>5261699</v>
      </c>
    </row>
    <row r="144" spans="1:12" ht="13.5" customHeight="1" x14ac:dyDescent="0.35">
      <c r="A144" s="334">
        <v>1003</v>
      </c>
      <c r="B144" s="334" t="s">
        <v>339</v>
      </c>
      <c r="C144" s="335">
        <v>881232.25</v>
      </c>
      <c r="D144" s="336">
        <v>205481</v>
      </c>
      <c r="E144" s="336">
        <v>29446</v>
      </c>
      <c r="F144" s="337"/>
      <c r="G144" s="338">
        <v>0</v>
      </c>
      <c r="H144" s="338">
        <f t="shared" si="6"/>
        <v>205689</v>
      </c>
      <c r="I144" s="336">
        <v>223108</v>
      </c>
      <c r="J144" s="337"/>
      <c r="K144" s="338">
        <f t="shared" si="7"/>
        <v>217508</v>
      </c>
      <c r="L144" s="336">
        <f t="shared" si="8"/>
        <v>423197</v>
      </c>
    </row>
    <row r="145" spans="1:12" ht="13.5" customHeight="1" x14ac:dyDescent="0.35">
      <c r="A145" s="334">
        <v>47001</v>
      </c>
      <c r="B145" s="334" t="s">
        <v>340</v>
      </c>
      <c r="C145" s="335">
        <v>2514105.8113311334</v>
      </c>
      <c r="D145" s="336">
        <v>126804</v>
      </c>
      <c r="E145" s="336">
        <v>19619</v>
      </c>
      <c r="F145" s="337"/>
      <c r="G145" s="338">
        <v>0</v>
      </c>
      <c r="H145" s="338">
        <f t="shared" si="6"/>
        <v>1110630</v>
      </c>
      <c r="I145" s="336">
        <v>132789</v>
      </c>
      <c r="J145" s="337"/>
      <c r="K145" s="338">
        <f t="shared" si="7"/>
        <v>1124264</v>
      </c>
      <c r="L145" s="336">
        <f t="shared" si="8"/>
        <v>2234894</v>
      </c>
    </row>
    <row r="146" spans="1:12" ht="13.5" customHeight="1" x14ac:dyDescent="0.35">
      <c r="A146" s="334">
        <v>12003</v>
      </c>
      <c r="B146" s="334" t="s">
        <v>341</v>
      </c>
      <c r="C146" s="335">
        <v>1532752.4969173861</v>
      </c>
      <c r="D146" s="336">
        <v>368197</v>
      </c>
      <c r="E146" s="336">
        <v>36099</v>
      </c>
      <c r="F146" s="337"/>
      <c r="G146" s="338">
        <v>0</v>
      </c>
      <c r="H146" s="338">
        <f t="shared" si="6"/>
        <v>362080</v>
      </c>
      <c r="I146" s="336">
        <v>406037</v>
      </c>
      <c r="J146" s="337"/>
      <c r="K146" s="338">
        <f t="shared" si="7"/>
        <v>360339</v>
      </c>
      <c r="L146" s="336">
        <f t="shared" si="8"/>
        <v>722419</v>
      </c>
    </row>
    <row r="147" spans="1:12" ht="13.5" customHeight="1" x14ac:dyDescent="0.35">
      <c r="A147" s="334">
        <v>54007</v>
      </c>
      <c r="B147" s="334" t="s">
        <v>342</v>
      </c>
      <c r="C147" s="335">
        <v>1366002.5000000002</v>
      </c>
      <c r="D147" s="336">
        <v>216210</v>
      </c>
      <c r="E147" s="336">
        <v>26337</v>
      </c>
      <c r="F147" s="337"/>
      <c r="G147" s="338">
        <v>0</v>
      </c>
      <c r="H147" s="338">
        <f t="shared" si="6"/>
        <v>440454</v>
      </c>
      <c r="I147" s="336">
        <v>224641</v>
      </c>
      <c r="J147" s="337"/>
      <c r="K147" s="338">
        <f t="shared" si="7"/>
        <v>458360</v>
      </c>
      <c r="L147" s="336">
        <f t="shared" si="8"/>
        <v>898814</v>
      </c>
    </row>
    <row r="148" spans="1:12" ht="13.5" customHeight="1" x14ac:dyDescent="0.35">
      <c r="A148" s="334">
        <v>59002</v>
      </c>
      <c r="B148" s="334" t="s">
        <v>343</v>
      </c>
      <c r="C148" s="335">
        <v>3868519.08</v>
      </c>
      <c r="D148" s="336">
        <v>818291</v>
      </c>
      <c r="E148" s="336">
        <v>102779</v>
      </c>
      <c r="F148" s="337"/>
      <c r="G148" s="338">
        <v>0</v>
      </c>
      <c r="H148" s="338">
        <f t="shared" si="6"/>
        <v>1013190</v>
      </c>
      <c r="I148" s="336">
        <v>870986</v>
      </c>
      <c r="J148" s="337"/>
      <c r="K148" s="338">
        <f t="shared" si="7"/>
        <v>1063274</v>
      </c>
      <c r="L148" s="336">
        <f t="shared" si="8"/>
        <v>2076464</v>
      </c>
    </row>
    <row r="149" spans="1:12" ht="13.5" customHeight="1" x14ac:dyDescent="0.35">
      <c r="A149" s="340">
        <v>2006</v>
      </c>
      <c r="B149" s="334" t="s">
        <v>344</v>
      </c>
      <c r="C149" s="335">
        <v>2220434.342629482</v>
      </c>
      <c r="D149" s="336">
        <v>454301</v>
      </c>
      <c r="E149" s="336">
        <v>63910</v>
      </c>
      <c r="F149" s="337"/>
      <c r="G149" s="338">
        <v>0</v>
      </c>
      <c r="H149" s="338">
        <f t="shared" si="6"/>
        <v>592006</v>
      </c>
      <c r="I149" s="336">
        <v>481363</v>
      </c>
      <c r="J149" s="337"/>
      <c r="K149" s="338">
        <f t="shared" si="7"/>
        <v>628854</v>
      </c>
      <c r="L149" s="336">
        <f t="shared" si="8"/>
        <v>1220860</v>
      </c>
    </row>
    <row r="150" spans="1:12" ht="13.5" customHeight="1" x14ac:dyDescent="0.35">
      <c r="A150" s="334">
        <v>55004</v>
      </c>
      <c r="B150" s="334" t="s">
        <v>345</v>
      </c>
      <c r="C150" s="335">
        <v>1474066.9746600741</v>
      </c>
      <c r="D150" s="336">
        <v>238523</v>
      </c>
      <c r="E150" s="336">
        <v>32140</v>
      </c>
      <c r="F150" s="337"/>
      <c r="G150" s="338">
        <v>0</v>
      </c>
      <c r="H150" s="338">
        <f t="shared" si="6"/>
        <v>466370</v>
      </c>
      <c r="I150" s="336">
        <v>245389</v>
      </c>
      <c r="J150" s="337"/>
      <c r="K150" s="338">
        <f t="shared" si="7"/>
        <v>491644</v>
      </c>
      <c r="L150" s="336">
        <f t="shared" si="8"/>
        <v>958014</v>
      </c>
    </row>
    <row r="151" spans="1:12" ht="13.5" customHeight="1" x14ac:dyDescent="0.35">
      <c r="A151" s="334">
        <v>63003</v>
      </c>
      <c r="B151" s="334" t="s">
        <v>346</v>
      </c>
      <c r="C151" s="335">
        <v>14887733.4069</v>
      </c>
      <c r="D151" s="336">
        <v>3358293</v>
      </c>
      <c r="E151" s="336">
        <v>198912</v>
      </c>
      <c r="F151" s="337"/>
      <c r="G151" s="338">
        <v>0</v>
      </c>
      <c r="H151" s="338">
        <f t="shared" si="6"/>
        <v>3886662</v>
      </c>
      <c r="I151" s="336">
        <v>3131407</v>
      </c>
      <c r="J151" s="337"/>
      <c r="K151" s="338">
        <f t="shared" si="7"/>
        <v>4312460</v>
      </c>
      <c r="L151" s="336">
        <f t="shared" si="8"/>
        <v>8199122</v>
      </c>
    </row>
    <row r="152" spans="1:12" x14ac:dyDescent="0.35">
      <c r="A152" s="341"/>
      <c r="B152" s="341"/>
      <c r="C152" s="335">
        <f t="shared" ref="C152:L152" si="9">SUM(C2:C151)</f>
        <v>756180983.91155422</v>
      </c>
      <c r="D152" s="336">
        <f t="shared" si="9"/>
        <v>164094597</v>
      </c>
      <c r="E152" s="336">
        <f t="shared" si="9"/>
        <v>11231163</v>
      </c>
      <c r="F152" s="337">
        <f t="shared" si="9"/>
        <v>0</v>
      </c>
      <c r="G152" s="336">
        <f t="shared" si="9"/>
        <v>415761.98491000006</v>
      </c>
      <c r="H152" s="336">
        <f t="shared" si="9"/>
        <v>204953556</v>
      </c>
      <c r="I152" s="342">
        <f t="shared" si="9"/>
        <v>160483898</v>
      </c>
      <c r="J152" s="337">
        <f t="shared" si="9"/>
        <v>-279124.71000000002</v>
      </c>
      <c r="K152" s="336">
        <f t="shared" si="9"/>
        <v>219048798</v>
      </c>
      <c r="L152" s="336">
        <f t="shared" si="9"/>
        <v>424002354</v>
      </c>
    </row>
    <row r="153" spans="1:12" ht="16.5" thickBot="1" x14ac:dyDescent="0.4">
      <c r="A153" s="528"/>
      <c r="B153" s="528"/>
      <c r="C153" s="343"/>
      <c r="F153" s="344"/>
      <c r="H153" s="343"/>
    </row>
    <row r="154" spans="1:12" s="354" customFormat="1" ht="16.5" thickBot="1" x14ac:dyDescent="0.3">
      <c r="A154" s="346" t="s">
        <v>187</v>
      </c>
      <c r="B154" s="347" t="s">
        <v>368</v>
      </c>
      <c r="C154" s="348">
        <v>368820.67499999999</v>
      </c>
      <c r="D154" s="349"/>
      <c r="E154" s="349"/>
      <c r="F154" s="350"/>
      <c r="G154" s="351"/>
      <c r="H154" s="349">
        <f>IF((0.5*C154)-D154&lt;0,0,ROUND((0.5*C154)-D154,0))</f>
        <v>184410</v>
      </c>
      <c r="I154" s="352"/>
      <c r="J154" s="349"/>
      <c r="K154" s="349">
        <f>IF((0.5*C154)-I154+J154+(0.5*G154)&lt;0,0,ROUND((0.5*C154)-I154+J154+(0.5*G154),0))</f>
        <v>184410</v>
      </c>
      <c r="L154" s="353">
        <f>H154+K154</f>
        <v>368820</v>
      </c>
    </row>
    <row r="155" spans="1:12" s="155" customFormat="1" x14ac:dyDescent="0.35">
      <c r="A155" s="355"/>
      <c r="B155" s="355"/>
      <c r="C155" s="356"/>
      <c r="D155" s="356"/>
      <c r="E155" s="356"/>
      <c r="F155" s="356"/>
      <c r="G155" s="357"/>
      <c r="H155" s="356"/>
      <c r="I155" s="358"/>
      <c r="J155" s="359"/>
      <c r="K155" s="359"/>
      <c r="L155" s="359"/>
    </row>
    <row r="156" spans="1:12" ht="13.5" customHeight="1" x14ac:dyDescent="0.35">
      <c r="F156" s="343"/>
      <c r="H156" s="343"/>
      <c r="K156" s="360" t="s">
        <v>366</v>
      </c>
      <c r="L156" s="361">
        <f>L152+L154</f>
        <v>424371174</v>
      </c>
    </row>
  </sheetData>
  <mergeCells count="1">
    <mergeCell ref="A153:B153"/>
  </mergeCells>
  <pageMargins left="0.25" right="0.25" top="0.42" bottom="0.43" header="0.17" footer="0.16"/>
  <pageSetup scale="90" orientation="landscape" cellComments="asDisplayed" r:id="rId1"/>
  <headerFooter alignWithMargins="0">
    <oddHeader xml:space="preserve">&amp;C&amp;"Arial Unicode MS,Regular"&amp;12FY2017 General State Aid &amp;"Lucida Sans Unicode,Regular"&amp;14
</oddHeader>
    <oddFooter>&amp;R&amp;"Arial Unicode MS,Regular"&amp;8
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905D-F0B1-49F5-AC29-B4ED0767880A}">
  <dimension ref="A2:Q160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N25" sqref="N25"/>
    </sheetView>
  </sheetViews>
  <sheetFormatPr defaultColWidth="9.140625" defaultRowHeight="15" x14ac:dyDescent="0.25"/>
  <cols>
    <col min="1" max="2" width="6.5703125" style="245" customWidth="1"/>
    <col min="3" max="3" width="27.85546875" style="245" bestFit="1" customWidth="1"/>
    <col min="4" max="4" width="5.42578125" style="245" hidden="1" customWidth="1"/>
    <col min="5" max="5" width="12.7109375" style="245" bestFit="1" customWidth="1"/>
    <col min="6" max="6" width="12.140625" style="245" customWidth="1"/>
    <col min="7" max="7" width="15.5703125" style="245" customWidth="1"/>
    <col min="8" max="8" width="11.140625" style="245" bestFit="1" customWidth="1"/>
    <col min="9" max="9" width="11.28515625" style="245" bestFit="1" customWidth="1"/>
    <col min="10" max="10" width="12.7109375" style="245" bestFit="1" customWidth="1"/>
    <col min="11" max="11" width="12.7109375" style="245" customWidth="1"/>
    <col min="12" max="12" width="12.140625" style="245" bestFit="1" customWidth="1"/>
    <col min="13" max="13" width="16.42578125" style="245" customWidth="1"/>
    <col min="14" max="14" width="13.7109375" style="245" customWidth="1"/>
    <col min="15" max="16384" width="9.140625" style="245"/>
  </cols>
  <sheetData>
    <row r="2" spans="1:14" ht="60" x14ac:dyDescent="0.25">
      <c r="A2" s="245" t="s">
        <v>524</v>
      </c>
      <c r="D2" s="245" t="s">
        <v>525</v>
      </c>
      <c r="E2" s="246" t="s">
        <v>507</v>
      </c>
      <c r="F2" s="246" t="s">
        <v>508</v>
      </c>
      <c r="G2" s="246" t="s">
        <v>509</v>
      </c>
      <c r="H2" s="246" t="s">
        <v>508</v>
      </c>
      <c r="I2" s="246" t="s">
        <v>510</v>
      </c>
      <c r="J2" s="246" t="s">
        <v>511</v>
      </c>
      <c r="K2" s="246" t="s">
        <v>526</v>
      </c>
      <c r="L2" s="246" t="s">
        <v>527</v>
      </c>
      <c r="M2" s="246" t="s">
        <v>528</v>
      </c>
      <c r="N2" s="246" t="s">
        <v>577</v>
      </c>
    </row>
    <row r="3" spans="1:14" x14ac:dyDescent="0.25">
      <c r="A3" s="401" t="s">
        <v>529</v>
      </c>
      <c r="B3" s="401" t="s">
        <v>189</v>
      </c>
      <c r="C3" s="401" t="s">
        <v>190</v>
      </c>
      <c r="D3" s="401" t="s">
        <v>530</v>
      </c>
      <c r="E3" s="401" t="s">
        <v>512</v>
      </c>
      <c r="F3" s="401">
        <v>1210</v>
      </c>
      <c r="G3" s="401" t="s">
        <v>513</v>
      </c>
      <c r="H3" s="401" t="s">
        <v>514</v>
      </c>
      <c r="I3" s="401" t="s">
        <v>515</v>
      </c>
      <c r="J3" s="401" t="s">
        <v>516</v>
      </c>
      <c r="K3" s="401"/>
      <c r="L3" s="402"/>
      <c r="M3" s="402"/>
      <c r="N3" s="403"/>
    </row>
    <row r="4" spans="1:14" x14ac:dyDescent="0.25">
      <c r="A4" s="247">
        <v>2018</v>
      </c>
      <c r="B4" s="247">
        <v>6001</v>
      </c>
      <c r="C4" s="248" t="s">
        <v>198</v>
      </c>
      <c r="D4" s="247">
        <v>10</v>
      </c>
      <c r="E4" s="249">
        <v>762788.48</v>
      </c>
      <c r="F4" s="249">
        <v>0</v>
      </c>
      <c r="G4" s="249">
        <v>386851.79</v>
      </c>
      <c r="H4" s="249">
        <v>17518.34</v>
      </c>
      <c r="I4" s="249">
        <v>0</v>
      </c>
      <c r="J4" s="249">
        <v>327707.21000000002</v>
      </c>
      <c r="K4" s="250">
        <f t="shared" ref="K4:K35" si="0">SUM(E4:J4)</f>
        <v>1494865.82</v>
      </c>
      <c r="L4" s="251">
        <v>4519.12</v>
      </c>
      <c r="M4" s="252">
        <f t="shared" ref="M4:M35" si="1">K4/L4</f>
        <v>330.78692754341557</v>
      </c>
      <c r="N4" s="253">
        <f>(M4/$M$151)-1</f>
        <v>-4.9520417180732523E-2</v>
      </c>
    </row>
    <row r="5" spans="1:14" x14ac:dyDescent="0.25">
      <c r="A5" s="254">
        <v>2018</v>
      </c>
      <c r="B5" s="254">
        <v>58003</v>
      </c>
      <c r="C5" s="255" t="s">
        <v>199</v>
      </c>
      <c r="D5" s="254">
        <v>10</v>
      </c>
      <c r="E5" s="256">
        <v>207864.95</v>
      </c>
      <c r="F5" s="256">
        <v>0</v>
      </c>
      <c r="G5" s="256">
        <v>25246.41</v>
      </c>
      <c r="H5" s="256">
        <v>223.81</v>
      </c>
      <c r="I5" s="256">
        <v>0</v>
      </c>
      <c r="J5" s="256">
        <v>59095.88</v>
      </c>
      <c r="K5" s="250">
        <f t="shared" si="0"/>
        <v>292431.05</v>
      </c>
      <c r="L5" s="251">
        <v>251.13</v>
      </c>
      <c r="M5" s="252">
        <f t="shared" si="1"/>
        <v>1164.4608370166845</v>
      </c>
      <c r="N5" s="253">
        <f t="shared" ref="N5:N68" si="2">(M5/$M$151)-1</f>
        <v>2.3459491848622918</v>
      </c>
    </row>
    <row r="6" spans="1:14" x14ac:dyDescent="0.25">
      <c r="A6" s="254">
        <v>2018</v>
      </c>
      <c r="B6" s="254">
        <v>61001</v>
      </c>
      <c r="C6" s="255" t="s">
        <v>200</v>
      </c>
      <c r="D6" s="254">
        <v>10</v>
      </c>
      <c r="E6" s="256">
        <v>89247.61</v>
      </c>
      <c r="F6" s="256">
        <v>0</v>
      </c>
      <c r="G6" s="256">
        <v>37385.29</v>
      </c>
      <c r="H6" s="256">
        <v>0</v>
      </c>
      <c r="I6" s="256">
        <v>0</v>
      </c>
      <c r="J6" s="256">
        <v>24618.240000000002</v>
      </c>
      <c r="K6" s="250">
        <f t="shared" si="0"/>
        <v>151251.13999999998</v>
      </c>
      <c r="L6" s="251">
        <v>310.27</v>
      </c>
      <c r="M6" s="252">
        <f t="shared" si="1"/>
        <v>487.48232184871239</v>
      </c>
      <c r="N6" s="253">
        <f t="shared" si="2"/>
        <v>0.40072643542335484</v>
      </c>
    </row>
    <row r="7" spans="1:14" x14ac:dyDescent="0.25">
      <c r="A7" s="254">
        <v>2018</v>
      </c>
      <c r="B7" s="254">
        <v>11001</v>
      </c>
      <c r="C7" s="255" t="s">
        <v>201</v>
      </c>
      <c r="D7" s="254">
        <v>10</v>
      </c>
      <c r="E7" s="256">
        <v>96688.5</v>
      </c>
      <c r="F7" s="256">
        <v>0</v>
      </c>
      <c r="G7" s="256">
        <v>16264.46</v>
      </c>
      <c r="H7" s="256">
        <v>585.61</v>
      </c>
      <c r="I7" s="256">
        <v>0</v>
      </c>
      <c r="J7" s="256">
        <v>13878.54</v>
      </c>
      <c r="K7" s="250">
        <f t="shared" si="0"/>
        <v>127417.10999999999</v>
      </c>
      <c r="L7" s="251">
        <v>317</v>
      </c>
      <c r="M7" s="252">
        <f t="shared" si="1"/>
        <v>401.94671924290219</v>
      </c>
      <c r="N7" s="253">
        <f t="shared" si="2"/>
        <v>0.15494935927123099</v>
      </c>
    </row>
    <row r="8" spans="1:14" x14ac:dyDescent="0.25">
      <c r="A8" s="254">
        <v>2018</v>
      </c>
      <c r="B8" s="254">
        <v>38001</v>
      </c>
      <c r="C8" s="255" t="s">
        <v>202</v>
      </c>
      <c r="D8" s="254">
        <v>10</v>
      </c>
      <c r="E8" s="256">
        <v>57288.6</v>
      </c>
      <c r="F8" s="256">
        <v>0</v>
      </c>
      <c r="G8" s="256">
        <v>13358.15</v>
      </c>
      <c r="H8" s="256">
        <v>5119.5600000000004</v>
      </c>
      <c r="I8" s="256">
        <v>0</v>
      </c>
      <c r="J8" s="256">
        <v>30571.8</v>
      </c>
      <c r="K8" s="250">
        <f t="shared" si="0"/>
        <v>106338.11</v>
      </c>
      <c r="L8" s="251">
        <v>259</v>
      </c>
      <c r="M8" s="252">
        <f t="shared" si="1"/>
        <v>410.57185328185329</v>
      </c>
      <c r="N8" s="253">
        <f t="shared" si="2"/>
        <v>0.17973272620772063</v>
      </c>
    </row>
    <row r="9" spans="1:14" x14ac:dyDescent="0.25">
      <c r="A9" s="254">
        <v>2018</v>
      </c>
      <c r="B9" s="254">
        <v>21001</v>
      </c>
      <c r="C9" s="255" t="s">
        <v>203</v>
      </c>
      <c r="D9" s="254">
        <v>10</v>
      </c>
      <c r="E9" s="256">
        <v>59876.56</v>
      </c>
      <c r="F9" s="256">
        <v>0</v>
      </c>
      <c r="G9" s="256">
        <v>10194.25</v>
      </c>
      <c r="H9" s="256">
        <v>812.03</v>
      </c>
      <c r="I9" s="256">
        <v>0</v>
      </c>
      <c r="J9" s="256">
        <v>6049.75</v>
      </c>
      <c r="K9" s="250">
        <f t="shared" si="0"/>
        <v>76932.59</v>
      </c>
      <c r="L9" s="251">
        <v>168</v>
      </c>
      <c r="M9" s="252">
        <f t="shared" si="1"/>
        <v>457.93208333333331</v>
      </c>
      <c r="N9" s="253">
        <f t="shared" si="2"/>
        <v>0.3158170994199816</v>
      </c>
    </row>
    <row r="10" spans="1:14" x14ac:dyDescent="0.25">
      <c r="A10" s="254">
        <v>2018</v>
      </c>
      <c r="B10" s="254">
        <v>4001</v>
      </c>
      <c r="C10" s="255" t="s">
        <v>204</v>
      </c>
      <c r="D10" s="254">
        <v>10</v>
      </c>
      <c r="E10" s="256">
        <v>50612.97</v>
      </c>
      <c r="F10" s="256">
        <v>517.51</v>
      </c>
      <c r="G10" s="256">
        <v>7144.79</v>
      </c>
      <c r="H10" s="256">
        <v>2450.56</v>
      </c>
      <c r="I10" s="256">
        <v>0</v>
      </c>
      <c r="J10" s="256">
        <v>10136.39</v>
      </c>
      <c r="K10" s="250">
        <f t="shared" si="0"/>
        <v>70862.22</v>
      </c>
      <c r="L10" s="251">
        <v>233</v>
      </c>
      <c r="M10" s="252">
        <f t="shared" si="1"/>
        <v>304.12969957081543</v>
      </c>
      <c r="N10" s="253">
        <f t="shared" si="2"/>
        <v>-0.12611700795498437</v>
      </c>
    </row>
    <row r="11" spans="1:14" x14ac:dyDescent="0.25">
      <c r="A11" s="254">
        <v>2018</v>
      </c>
      <c r="B11" s="254">
        <v>49001</v>
      </c>
      <c r="C11" s="255" t="s">
        <v>205</v>
      </c>
      <c r="D11" s="254">
        <v>10</v>
      </c>
      <c r="E11" s="256">
        <v>48194.14</v>
      </c>
      <c r="F11" s="256">
        <v>0</v>
      </c>
      <c r="G11" s="256">
        <v>16576.490000000002</v>
      </c>
      <c r="H11" s="256">
        <v>0</v>
      </c>
      <c r="I11" s="256">
        <v>0</v>
      </c>
      <c r="J11" s="256">
        <v>58051.24</v>
      </c>
      <c r="K11" s="250">
        <f t="shared" si="0"/>
        <v>122821.87</v>
      </c>
      <c r="L11" s="251">
        <v>491</v>
      </c>
      <c r="M11" s="252">
        <f t="shared" si="1"/>
        <v>250.14637474541752</v>
      </c>
      <c r="N11" s="253">
        <f t="shared" si="2"/>
        <v>-0.28123211011544325</v>
      </c>
    </row>
    <row r="12" spans="1:14" x14ac:dyDescent="0.25">
      <c r="A12" s="254">
        <v>2018</v>
      </c>
      <c r="B12" s="254">
        <v>9001</v>
      </c>
      <c r="C12" s="255" t="s">
        <v>206</v>
      </c>
      <c r="D12" s="254">
        <v>10</v>
      </c>
      <c r="E12" s="256">
        <v>82393.41</v>
      </c>
      <c r="F12" s="256">
        <v>0</v>
      </c>
      <c r="G12" s="256">
        <v>146485.56</v>
      </c>
      <c r="H12" s="256">
        <v>0</v>
      </c>
      <c r="I12" s="256">
        <v>0</v>
      </c>
      <c r="J12" s="256">
        <v>67677.78</v>
      </c>
      <c r="K12" s="250">
        <f t="shared" si="0"/>
        <v>296556.75</v>
      </c>
      <c r="L12" s="251">
        <v>1385.21</v>
      </c>
      <c r="M12" s="252">
        <f t="shared" si="1"/>
        <v>214.08793612520844</v>
      </c>
      <c r="N12" s="253">
        <f t="shared" si="2"/>
        <v>-0.3848420379665134</v>
      </c>
    </row>
    <row r="13" spans="1:14" x14ac:dyDescent="0.25">
      <c r="A13" s="254">
        <v>2018</v>
      </c>
      <c r="B13" s="254">
        <v>3001</v>
      </c>
      <c r="C13" s="255" t="s">
        <v>207</v>
      </c>
      <c r="D13" s="254">
        <v>10</v>
      </c>
      <c r="E13" s="256">
        <v>176938.99</v>
      </c>
      <c r="F13" s="256">
        <v>0</v>
      </c>
      <c r="G13" s="256">
        <v>19272.419999999998</v>
      </c>
      <c r="H13" s="256">
        <v>10574.72</v>
      </c>
      <c r="I13" s="256">
        <v>0</v>
      </c>
      <c r="J13" s="256">
        <v>18391.509999999998</v>
      </c>
      <c r="K13" s="250">
        <f t="shared" si="0"/>
        <v>225177.63999999998</v>
      </c>
      <c r="L13" s="251">
        <v>481</v>
      </c>
      <c r="M13" s="252">
        <f t="shared" si="1"/>
        <v>468.14478170478168</v>
      </c>
      <c r="N13" s="253">
        <f t="shared" si="2"/>
        <v>0.34516215655280691</v>
      </c>
    </row>
    <row r="14" spans="1:14" x14ac:dyDescent="0.25">
      <c r="A14" s="254">
        <v>2018</v>
      </c>
      <c r="B14" s="254">
        <v>61002</v>
      </c>
      <c r="C14" s="255" t="s">
        <v>208</v>
      </c>
      <c r="D14" s="254">
        <v>10</v>
      </c>
      <c r="E14" s="256">
        <v>59223.54</v>
      </c>
      <c r="F14" s="256">
        <v>0</v>
      </c>
      <c r="G14" s="256">
        <v>71271.570000000007</v>
      </c>
      <c r="H14" s="256">
        <v>0</v>
      </c>
      <c r="I14" s="256">
        <v>0</v>
      </c>
      <c r="J14" s="256">
        <v>53637.74</v>
      </c>
      <c r="K14" s="250">
        <f t="shared" si="0"/>
        <v>184132.85</v>
      </c>
      <c r="L14" s="251">
        <v>675.12</v>
      </c>
      <c r="M14" s="252">
        <f t="shared" si="1"/>
        <v>272.74092013271718</v>
      </c>
      <c r="N14" s="253">
        <f t="shared" si="2"/>
        <v>-0.21630918757675577</v>
      </c>
    </row>
    <row r="15" spans="1:14" x14ac:dyDescent="0.25">
      <c r="A15" s="254">
        <v>2018</v>
      </c>
      <c r="B15" s="254">
        <v>25001</v>
      </c>
      <c r="C15" s="255" t="s">
        <v>209</v>
      </c>
      <c r="D15" s="254">
        <v>10</v>
      </c>
      <c r="E15" s="256">
        <v>15965.85</v>
      </c>
      <c r="F15" s="256">
        <v>0</v>
      </c>
      <c r="G15" s="256">
        <v>6465.05</v>
      </c>
      <c r="H15" s="256">
        <v>107.63</v>
      </c>
      <c r="I15" s="256">
        <v>0</v>
      </c>
      <c r="J15" s="256">
        <v>13724.92</v>
      </c>
      <c r="K15" s="250">
        <f t="shared" si="0"/>
        <v>36263.450000000004</v>
      </c>
      <c r="L15" s="251">
        <v>90</v>
      </c>
      <c r="M15" s="252">
        <f t="shared" si="1"/>
        <v>402.92722222222227</v>
      </c>
      <c r="N15" s="253">
        <f t="shared" si="2"/>
        <v>0.15776672593580354</v>
      </c>
    </row>
    <row r="16" spans="1:14" x14ac:dyDescent="0.25">
      <c r="A16" s="254">
        <v>2018</v>
      </c>
      <c r="B16" s="254">
        <v>52001</v>
      </c>
      <c r="C16" s="255" t="s">
        <v>210</v>
      </c>
      <c r="D16" s="254">
        <v>10</v>
      </c>
      <c r="E16" s="256">
        <v>86077.82</v>
      </c>
      <c r="F16" s="256">
        <v>0</v>
      </c>
      <c r="G16" s="256">
        <v>7873.51</v>
      </c>
      <c r="H16" s="256">
        <v>1396.97</v>
      </c>
      <c r="I16" s="256">
        <v>0</v>
      </c>
      <c r="J16" s="256">
        <v>15419.62</v>
      </c>
      <c r="K16" s="250">
        <f t="shared" si="0"/>
        <v>110767.92</v>
      </c>
      <c r="L16" s="251">
        <v>152</v>
      </c>
      <c r="M16" s="252">
        <f t="shared" si="1"/>
        <v>728.73631578947368</v>
      </c>
      <c r="N16" s="253">
        <f t="shared" si="2"/>
        <v>1.0939430544029562</v>
      </c>
    </row>
    <row r="17" spans="1:14" x14ac:dyDescent="0.25">
      <c r="A17" s="254">
        <v>2018</v>
      </c>
      <c r="B17" s="254">
        <v>4002</v>
      </c>
      <c r="C17" s="255" t="s">
        <v>211</v>
      </c>
      <c r="D17" s="254">
        <v>10</v>
      </c>
      <c r="E17" s="256">
        <v>159897.71</v>
      </c>
      <c r="F17" s="256">
        <v>0</v>
      </c>
      <c r="G17" s="256">
        <v>16215.45</v>
      </c>
      <c r="H17" s="256">
        <v>1965.29</v>
      </c>
      <c r="I17" s="256">
        <v>0</v>
      </c>
      <c r="J17" s="256">
        <v>22748.78</v>
      </c>
      <c r="K17" s="250">
        <f t="shared" si="0"/>
        <v>200827.23</v>
      </c>
      <c r="L17" s="251">
        <v>524</v>
      </c>
      <c r="M17" s="252">
        <f t="shared" si="1"/>
        <v>383.25807251908401</v>
      </c>
      <c r="N17" s="253">
        <f t="shared" si="2"/>
        <v>0.10124960374150271</v>
      </c>
    </row>
    <row r="18" spans="1:14" x14ac:dyDescent="0.25">
      <c r="A18" s="254">
        <v>2018</v>
      </c>
      <c r="B18" s="254">
        <v>22001</v>
      </c>
      <c r="C18" s="255" t="s">
        <v>212</v>
      </c>
      <c r="D18" s="254">
        <v>10</v>
      </c>
      <c r="E18" s="256">
        <v>47334.92</v>
      </c>
      <c r="F18" s="256">
        <v>0</v>
      </c>
      <c r="G18" s="256">
        <v>13430.79</v>
      </c>
      <c r="H18" s="256">
        <v>2815.81</v>
      </c>
      <c r="I18" s="256">
        <v>0</v>
      </c>
      <c r="J18" s="256">
        <v>19616.560000000001</v>
      </c>
      <c r="K18" s="250">
        <f t="shared" si="0"/>
        <v>83198.080000000002</v>
      </c>
      <c r="L18" s="251">
        <v>109</v>
      </c>
      <c r="M18" s="252">
        <f t="shared" si="1"/>
        <v>763.28513761467889</v>
      </c>
      <c r="N18" s="253">
        <f t="shared" si="2"/>
        <v>1.1932152656695525</v>
      </c>
    </row>
    <row r="19" spans="1:14" x14ac:dyDescent="0.25">
      <c r="A19" s="254">
        <v>2018</v>
      </c>
      <c r="B19" s="254">
        <v>49002</v>
      </c>
      <c r="C19" s="255" t="s">
        <v>213</v>
      </c>
      <c r="D19" s="254">
        <v>10</v>
      </c>
      <c r="E19" s="256">
        <v>767913.35</v>
      </c>
      <c r="F19" s="256">
        <v>0</v>
      </c>
      <c r="G19" s="256">
        <v>159851.48000000001</v>
      </c>
      <c r="H19" s="256">
        <v>0</v>
      </c>
      <c r="I19" s="256">
        <v>0</v>
      </c>
      <c r="J19" s="256">
        <v>556577.37</v>
      </c>
      <c r="K19" s="250">
        <f t="shared" si="0"/>
        <v>1484342.2</v>
      </c>
      <c r="L19" s="251">
        <v>4057.03</v>
      </c>
      <c r="M19" s="252">
        <f t="shared" si="1"/>
        <v>365.86917030438519</v>
      </c>
      <c r="N19" s="253">
        <f t="shared" si="2"/>
        <v>5.1284520038058279E-2</v>
      </c>
    </row>
    <row r="20" spans="1:14" x14ac:dyDescent="0.25">
      <c r="A20" s="254">
        <v>2018</v>
      </c>
      <c r="B20" s="254">
        <v>30003</v>
      </c>
      <c r="C20" s="255" t="s">
        <v>214</v>
      </c>
      <c r="D20" s="254">
        <v>10</v>
      </c>
      <c r="E20" s="256">
        <v>73023.960000000006</v>
      </c>
      <c r="F20" s="256">
        <v>0</v>
      </c>
      <c r="G20" s="256">
        <v>21663.64</v>
      </c>
      <c r="H20" s="256">
        <v>322.76</v>
      </c>
      <c r="I20" s="256">
        <v>0</v>
      </c>
      <c r="J20" s="256">
        <v>15947.73</v>
      </c>
      <c r="K20" s="250">
        <f t="shared" si="0"/>
        <v>110958.09</v>
      </c>
      <c r="L20" s="251">
        <v>334.1</v>
      </c>
      <c r="M20" s="252">
        <f t="shared" si="1"/>
        <v>332.11041604310083</v>
      </c>
      <c r="N20" s="253">
        <f t="shared" si="2"/>
        <v>-4.5717519628555747E-2</v>
      </c>
    </row>
    <row r="21" spans="1:14" x14ac:dyDescent="0.25">
      <c r="A21" s="254">
        <v>2018</v>
      </c>
      <c r="B21" s="254">
        <v>45004</v>
      </c>
      <c r="C21" s="255" t="s">
        <v>215</v>
      </c>
      <c r="D21" s="254">
        <v>10</v>
      </c>
      <c r="E21" s="256">
        <v>143774.57999999999</v>
      </c>
      <c r="F21" s="256">
        <v>0</v>
      </c>
      <c r="G21" s="256">
        <v>28604.34</v>
      </c>
      <c r="H21" s="256">
        <v>0</v>
      </c>
      <c r="I21" s="256">
        <v>0</v>
      </c>
      <c r="J21" s="256">
        <v>32006.59</v>
      </c>
      <c r="K21" s="250">
        <f t="shared" si="0"/>
        <v>204385.50999999998</v>
      </c>
      <c r="L21" s="251">
        <v>414.24</v>
      </c>
      <c r="M21" s="252">
        <f t="shared" si="1"/>
        <v>493.39877848590186</v>
      </c>
      <c r="N21" s="253">
        <f t="shared" si="2"/>
        <v>0.41772671798605088</v>
      </c>
    </row>
    <row r="22" spans="1:14" x14ac:dyDescent="0.25">
      <c r="A22" s="254">
        <v>2018</v>
      </c>
      <c r="B22" s="254">
        <v>5001</v>
      </c>
      <c r="C22" s="255" t="s">
        <v>216</v>
      </c>
      <c r="D22" s="254">
        <v>10</v>
      </c>
      <c r="E22" s="256">
        <v>456762.28</v>
      </c>
      <c r="F22" s="256">
        <v>0</v>
      </c>
      <c r="G22" s="256">
        <v>353246.92</v>
      </c>
      <c r="H22" s="256">
        <v>0</v>
      </c>
      <c r="I22" s="256">
        <v>0</v>
      </c>
      <c r="J22" s="256">
        <v>245853.94</v>
      </c>
      <c r="K22" s="250">
        <f t="shared" si="0"/>
        <v>1055863.1399999999</v>
      </c>
      <c r="L22" s="251">
        <v>3402.6</v>
      </c>
      <c r="M22" s="252">
        <f t="shared" si="1"/>
        <v>310.31068594604125</v>
      </c>
      <c r="N22" s="253">
        <f t="shared" si="2"/>
        <v>-0.1083566285017632</v>
      </c>
    </row>
    <row r="23" spans="1:14" x14ac:dyDescent="0.25">
      <c r="A23" s="254">
        <v>2018</v>
      </c>
      <c r="B23" s="254">
        <v>26002</v>
      </c>
      <c r="C23" s="255" t="s">
        <v>217</v>
      </c>
      <c r="D23" s="254">
        <v>10</v>
      </c>
      <c r="E23" s="256">
        <v>62337.61</v>
      </c>
      <c r="F23" s="256">
        <v>0</v>
      </c>
      <c r="G23" s="256">
        <v>7984.27</v>
      </c>
      <c r="H23" s="256">
        <v>6245.87</v>
      </c>
      <c r="I23" s="256">
        <v>0</v>
      </c>
      <c r="J23" s="256">
        <v>18370.61</v>
      </c>
      <c r="K23" s="250">
        <f t="shared" si="0"/>
        <v>94938.36</v>
      </c>
      <c r="L23" s="251">
        <v>229</v>
      </c>
      <c r="M23" s="252">
        <f t="shared" si="1"/>
        <v>414.57799126637553</v>
      </c>
      <c r="N23" s="253">
        <f t="shared" si="2"/>
        <v>0.19124391979848121</v>
      </c>
    </row>
    <row r="24" spans="1:14" x14ac:dyDescent="0.25">
      <c r="A24" s="254">
        <v>2018</v>
      </c>
      <c r="B24" s="254">
        <v>43001</v>
      </c>
      <c r="C24" s="255" t="s">
        <v>218</v>
      </c>
      <c r="D24" s="254">
        <v>10</v>
      </c>
      <c r="E24" s="256">
        <v>52827.55</v>
      </c>
      <c r="F24" s="256">
        <v>0</v>
      </c>
      <c r="G24" s="256">
        <v>12726.17</v>
      </c>
      <c r="H24" s="256">
        <v>0</v>
      </c>
      <c r="I24" s="256">
        <v>0</v>
      </c>
      <c r="J24" s="256">
        <v>9190.93</v>
      </c>
      <c r="K24" s="250">
        <f t="shared" si="0"/>
        <v>74744.649999999994</v>
      </c>
      <c r="L24" s="251">
        <v>210.53</v>
      </c>
      <c r="M24" s="252">
        <f t="shared" si="1"/>
        <v>355.03087445969692</v>
      </c>
      <c r="N24" s="253">
        <f t="shared" si="2"/>
        <v>2.0141877886399984E-2</v>
      </c>
    </row>
    <row r="25" spans="1:14" x14ac:dyDescent="0.25">
      <c r="A25" s="254">
        <v>2018</v>
      </c>
      <c r="B25" s="254">
        <v>41001</v>
      </c>
      <c r="C25" s="255" t="s">
        <v>219</v>
      </c>
      <c r="D25" s="254">
        <v>10</v>
      </c>
      <c r="E25" s="256">
        <v>157096.01999999999</v>
      </c>
      <c r="F25" s="256">
        <v>0</v>
      </c>
      <c r="G25" s="256">
        <v>31868.42</v>
      </c>
      <c r="H25" s="256">
        <v>0</v>
      </c>
      <c r="I25" s="256">
        <v>0</v>
      </c>
      <c r="J25" s="256">
        <v>61593.74</v>
      </c>
      <c r="K25" s="250">
        <f t="shared" si="0"/>
        <v>250558.18</v>
      </c>
      <c r="L25" s="251">
        <v>877.25</v>
      </c>
      <c r="M25" s="252">
        <f t="shared" si="1"/>
        <v>285.61776004559704</v>
      </c>
      <c r="N25" s="253">
        <f t="shared" si="2"/>
        <v>-0.17930901492991447</v>
      </c>
    </row>
    <row r="26" spans="1:14" x14ac:dyDescent="0.25">
      <c r="A26" s="254">
        <v>2018</v>
      </c>
      <c r="B26" s="254">
        <v>28001</v>
      </c>
      <c r="C26" s="255" t="s">
        <v>220</v>
      </c>
      <c r="D26" s="254">
        <v>10</v>
      </c>
      <c r="E26" s="256">
        <v>79175.03</v>
      </c>
      <c r="F26" s="256">
        <v>0</v>
      </c>
      <c r="G26" s="256">
        <v>13692.53</v>
      </c>
      <c r="H26" s="256">
        <v>358.24</v>
      </c>
      <c r="I26" s="256">
        <v>0</v>
      </c>
      <c r="J26" s="256">
        <v>11927.3</v>
      </c>
      <c r="K26" s="250">
        <f t="shared" si="0"/>
        <v>105153.1</v>
      </c>
      <c r="L26" s="251">
        <v>288</v>
      </c>
      <c r="M26" s="252">
        <f t="shared" si="1"/>
        <v>365.11493055555559</v>
      </c>
      <c r="N26" s="253">
        <f t="shared" si="2"/>
        <v>4.9117295694770968E-2</v>
      </c>
    </row>
    <row r="27" spans="1:14" x14ac:dyDescent="0.25">
      <c r="A27" s="254">
        <v>2018</v>
      </c>
      <c r="B27" s="254">
        <v>60001</v>
      </c>
      <c r="C27" s="255" t="s">
        <v>221</v>
      </c>
      <c r="D27" s="254">
        <v>10</v>
      </c>
      <c r="E27" s="256">
        <v>54250.13</v>
      </c>
      <c r="F27" s="256">
        <v>0</v>
      </c>
      <c r="G27" s="256">
        <v>14913.9</v>
      </c>
      <c r="H27" s="256">
        <v>0</v>
      </c>
      <c r="I27" s="256">
        <v>0</v>
      </c>
      <c r="J27" s="256">
        <v>11669.42</v>
      </c>
      <c r="K27" s="250">
        <f t="shared" si="0"/>
        <v>80833.45</v>
      </c>
      <c r="L27" s="251">
        <v>266.39</v>
      </c>
      <c r="M27" s="252">
        <f t="shared" si="1"/>
        <v>303.44025676639512</v>
      </c>
      <c r="N27" s="253">
        <f t="shared" si="2"/>
        <v>-0.12809804545846049</v>
      </c>
    </row>
    <row r="28" spans="1:14" x14ac:dyDescent="0.25">
      <c r="A28" s="254">
        <v>2018</v>
      </c>
      <c r="B28" s="254">
        <v>7001</v>
      </c>
      <c r="C28" s="255" t="s">
        <v>222</v>
      </c>
      <c r="D28" s="254">
        <v>10</v>
      </c>
      <c r="E28" s="256">
        <v>295469.17</v>
      </c>
      <c r="F28" s="256">
        <v>0</v>
      </c>
      <c r="G28" s="256">
        <v>82969.06</v>
      </c>
      <c r="H28" s="256">
        <v>0</v>
      </c>
      <c r="I28" s="256">
        <v>0</v>
      </c>
      <c r="J28" s="256">
        <v>43299.81</v>
      </c>
      <c r="K28" s="250">
        <f t="shared" si="0"/>
        <v>421738.04</v>
      </c>
      <c r="L28" s="251">
        <v>900.08</v>
      </c>
      <c r="M28" s="252">
        <f t="shared" si="1"/>
        <v>468.55617278464132</v>
      </c>
      <c r="N28" s="253">
        <f t="shared" si="2"/>
        <v>0.34634424323580992</v>
      </c>
    </row>
    <row r="29" spans="1:14" x14ac:dyDescent="0.25">
      <c r="A29" s="254">
        <v>2018</v>
      </c>
      <c r="B29" s="254">
        <v>39001</v>
      </c>
      <c r="C29" s="255" t="s">
        <v>223</v>
      </c>
      <c r="D29" s="254">
        <v>10</v>
      </c>
      <c r="E29" s="256">
        <v>201856.13</v>
      </c>
      <c r="F29" s="256">
        <v>0</v>
      </c>
      <c r="G29" s="256">
        <v>28230.47</v>
      </c>
      <c r="H29" s="256">
        <v>0</v>
      </c>
      <c r="I29" s="256">
        <v>0</v>
      </c>
      <c r="J29" s="256">
        <v>25250.89</v>
      </c>
      <c r="K29" s="250">
        <f t="shared" si="0"/>
        <v>255337.49</v>
      </c>
      <c r="L29" s="251">
        <v>561</v>
      </c>
      <c r="M29" s="252">
        <f t="shared" si="1"/>
        <v>455.14704099821745</v>
      </c>
      <c r="N29" s="253">
        <f t="shared" si="2"/>
        <v>0.30781458887195678</v>
      </c>
    </row>
    <row r="30" spans="1:14" x14ac:dyDescent="0.25">
      <c r="A30" s="254">
        <v>2018</v>
      </c>
      <c r="B30" s="254">
        <v>12002</v>
      </c>
      <c r="C30" s="255" t="s">
        <v>224</v>
      </c>
      <c r="D30" s="254">
        <v>10</v>
      </c>
      <c r="E30" s="256">
        <v>179261.22</v>
      </c>
      <c r="F30" s="256">
        <v>0</v>
      </c>
      <c r="G30" s="256">
        <v>18075.54</v>
      </c>
      <c r="H30" s="256">
        <v>3962.47</v>
      </c>
      <c r="I30" s="256">
        <v>34035.35</v>
      </c>
      <c r="J30" s="256">
        <v>23055.62</v>
      </c>
      <c r="K30" s="250">
        <f t="shared" si="0"/>
        <v>258390.2</v>
      </c>
      <c r="L30" s="251">
        <v>356</v>
      </c>
      <c r="M30" s="252">
        <f t="shared" si="1"/>
        <v>725.8151685393259</v>
      </c>
      <c r="N30" s="253">
        <f t="shared" si="2"/>
        <v>1.0855494614629517</v>
      </c>
    </row>
    <row r="31" spans="1:14" x14ac:dyDescent="0.25">
      <c r="A31" s="254">
        <v>2018</v>
      </c>
      <c r="B31" s="254">
        <v>50005</v>
      </c>
      <c r="C31" s="255" t="s">
        <v>225</v>
      </c>
      <c r="D31" s="254">
        <v>10</v>
      </c>
      <c r="E31" s="256">
        <v>51427.86</v>
      </c>
      <c r="F31" s="256">
        <v>0</v>
      </c>
      <c r="G31" s="256">
        <v>38033.07</v>
      </c>
      <c r="H31" s="256">
        <v>0</v>
      </c>
      <c r="I31" s="256">
        <v>0</v>
      </c>
      <c r="J31" s="256">
        <v>9414.3700000000008</v>
      </c>
      <c r="K31" s="250">
        <f t="shared" si="0"/>
        <v>98875.299999999988</v>
      </c>
      <c r="L31" s="251">
        <v>247</v>
      </c>
      <c r="M31" s="252">
        <f t="shared" si="1"/>
        <v>400.30485829959508</v>
      </c>
      <c r="N31" s="253">
        <f t="shared" si="2"/>
        <v>0.15023165378017289</v>
      </c>
    </row>
    <row r="32" spans="1:14" x14ac:dyDescent="0.25">
      <c r="A32" s="254">
        <v>2018</v>
      </c>
      <c r="B32" s="254">
        <v>59003</v>
      </c>
      <c r="C32" s="255" t="s">
        <v>226</v>
      </c>
      <c r="D32" s="254">
        <v>10</v>
      </c>
      <c r="E32" s="256">
        <v>58754.77</v>
      </c>
      <c r="F32" s="256">
        <v>0</v>
      </c>
      <c r="G32" s="256">
        <v>3260.81</v>
      </c>
      <c r="H32" s="256">
        <v>0</v>
      </c>
      <c r="I32" s="256">
        <v>0</v>
      </c>
      <c r="J32" s="256">
        <v>15534.63</v>
      </c>
      <c r="K32" s="250">
        <f t="shared" si="0"/>
        <v>77550.209999999992</v>
      </c>
      <c r="L32" s="251">
        <v>224</v>
      </c>
      <c r="M32" s="252">
        <f t="shared" si="1"/>
        <v>346.20629464285713</v>
      </c>
      <c r="N32" s="253">
        <f t="shared" si="2"/>
        <v>-5.2145743928829758E-3</v>
      </c>
    </row>
    <row r="33" spans="1:14" x14ac:dyDescent="0.25">
      <c r="A33" s="254">
        <v>2018</v>
      </c>
      <c r="B33" s="254">
        <v>21003</v>
      </c>
      <c r="C33" s="255" t="s">
        <v>227</v>
      </c>
      <c r="D33" s="254">
        <v>10</v>
      </c>
      <c r="E33" s="256">
        <v>112668.41</v>
      </c>
      <c r="F33" s="256">
        <v>0</v>
      </c>
      <c r="G33" s="256">
        <v>27419.599999999999</v>
      </c>
      <c r="H33" s="256">
        <v>0</v>
      </c>
      <c r="I33" s="256">
        <v>0</v>
      </c>
      <c r="J33" s="256">
        <v>22961.25</v>
      </c>
      <c r="K33" s="250">
        <f t="shared" si="0"/>
        <v>163049.26</v>
      </c>
      <c r="L33" s="251">
        <v>251</v>
      </c>
      <c r="M33" s="252">
        <f t="shared" si="1"/>
        <v>649.59864541832678</v>
      </c>
      <c r="N33" s="253">
        <f t="shared" si="2"/>
        <v>0.86654972759204685</v>
      </c>
    </row>
    <row r="34" spans="1:14" x14ac:dyDescent="0.25">
      <c r="A34" s="254">
        <v>2018</v>
      </c>
      <c r="B34" s="254">
        <v>16001</v>
      </c>
      <c r="C34" s="255" t="s">
        <v>228</v>
      </c>
      <c r="D34" s="254">
        <v>10</v>
      </c>
      <c r="E34" s="256">
        <v>338549.61</v>
      </c>
      <c r="F34" s="256">
        <v>0</v>
      </c>
      <c r="G34" s="256">
        <v>60015.199999999997</v>
      </c>
      <c r="H34" s="256">
        <v>26305.17</v>
      </c>
      <c r="I34" s="256">
        <v>0</v>
      </c>
      <c r="J34" s="256">
        <v>35294.26</v>
      </c>
      <c r="K34" s="250">
        <f t="shared" si="0"/>
        <v>460164.24</v>
      </c>
      <c r="L34" s="251">
        <v>897.02</v>
      </c>
      <c r="M34" s="252">
        <f t="shared" si="1"/>
        <v>512.99217408753429</v>
      </c>
      <c r="N34" s="253">
        <f t="shared" si="2"/>
        <v>0.47402616916375262</v>
      </c>
    </row>
    <row r="35" spans="1:14" x14ac:dyDescent="0.25">
      <c r="A35" s="254">
        <v>2018</v>
      </c>
      <c r="B35" s="254">
        <v>61008</v>
      </c>
      <c r="C35" s="255" t="s">
        <v>229</v>
      </c>
      <c r="D35" s="254">
        <v>10</v>
      </c>
      <c r="E35" s="256">
        <v>85091.520000000004</v>
      </c>
      <c r="F35" s="256">
        <v>0</v>
      </c>
      <c r="G35" s="256">
        <v>188840.44</v>
      </c>
      <c r="H35" s="256">
        <v>0</v>
      </c>
      <c r="I35" s="256">
        <v>0</v>
      </c>
      <c r="J35" s="256">
        <v>86241</v>
      </c>
      <c r="K35" s="250">
        <f t="shared" si="0"/>
        <v>360172.96</v>
      </c>
      <c r="L35" s="251">
        <v>1300.47</v>
      </c>
      <c r="M35" s="252">
        <f t="shared" si="1"/>
        <v>276.95599283336026</v>
      </c>
      <c r="N35" s="253">
        <f t="shared" si="2"/>
        <v>-0.20419764323063194</v>
      </c>
    </row>
    <row r="36" spans="1:14" x14ac:dyDescent="0.25">
      <c r="A36" s="254">
        <v>2018</v>
      </c>
      <c r="B36" s="254">
        <v>38002</v>
      </c>
      <c r="C36" s="255" t="s">
        <v>230</v>
      </c>
      <c r="D36" s="254">
        <v>10</v>
      </c>
      <c r="E36" s="256">
        <v>56270.75</v>
      </c>
      <c r="F36" s="256">
        <v>0</v>
      </c>
      <c r="G36" s="256">
        <v>12293.34</v>
      </c>
      <c r="H36" s="256">
        <v>15214.54</v>
      </c>
      <c r="I36" s="256">
        <v>0</v>
      </c>
      <c r="J36" s="256">
        <v>22176.49</v>
      </c>
      <c r="K36" s="250">
        <f t="shared" ref="K36:K67" si="3">SUM(E36:J36)</f>
        <v>105955.12000000001</v>
      </c>
      <c r="L36" s="251">
        <v>302</v>
      </c>
      <c r="M36" s="252">
        <f t="shared" ref="M36:M67" si="4">K36/L36</f>
        <v>350.84476821192055</v>
      </c>
      <c r="N36" s="253">
        <f t="shared" si="2"/>
        <v>8.113565432905423E-3</v>
      </c>
    </row>
    <row r="37" spans="1:14" x14ac:dyDescent="0.25">
      <c r="A37" s="254">
        <v>2018</v>
      </c>
      <c r="B37" s="254">
        <v>49003</v>
      </c>
      <c r="C37" s="255" t="s">
        <v>231</v>
      </c>
      <c r="D37" s="254">
        <v>10</v>
      </c>
      <c r="E37" s="256">
        <v>198093.7</v>
      </c>
      <c r="F37" s="256">
        <v>0</v>
      </c>
      <c r="G37" s="256">
        <v>42718.7</v>
      </c>
      <c r="H37" s="256">
        <v>0</v>
      </c>
      <c r="I37" s="256">
        <v>0</v>
      </c>
      <c r="J37" s="256">
        <v>138698.46</v>
      </c>
      <c r="K37" s="250">
        <f t="shared" si="3"/>
        <v>379510.86</v>
      </c>
      <c r="L37" s="251">
        <v>938.13</v>
      </c>
      <c r="M37" s="252">
        <f t="shared" si="4"/>
        <v>404.53973329922292</v>
      </c>
      <c r="N37" s="253">
        <f t="shared" si="2"/>
        <v>0.16240009783819787</v>
      </c>
    </row>
    <row r="38" spans="1:14" x14ac:dyDescent="0.25">
      <c r="A38" s="254">
        <v>2018</v>
      </c>
      <c r="B38" s="254">
        <v>5006</v>
      </c>
      <c r="C38" s="255" t="s">
        <v>232</v>
      </c>
      <c r="D38" s="254">
        <v>10</v>
      </c>
      <c r="E38" s="256">
        <v>111035.9</v>
      </c>
      <c r="F38" s="256">
        <v>0</v>
      </c>
      <c r="G38" s="256">
        <v>32428.15</v>
      </c>
      <c r="H38" s="256">
        <v>610.66</v>
      </c>
      <c r="I38" s="256">
        <v>418934.17</v>
      </c>
      <c r="J38" s="256">
        <v>31427.41</v>
      </c>
      <c r="K38" s="250">
        <f t="shared" si="3"/>
        <v>594436.29</v>
      </c>
      <c r="L38" s="251">
        <v>365</v>
      </c>
      <c r="M38" s="252">
        <f t="shared" si="4"/>
        <v>1628.5925753424658</v>
      </c>
      <c r="N38" s="253">
        <f t="shared" si="2"/>
        <v>3.6795803059384706</v>
      </c>
    </row>
    <row r="39" spans="1:14" x14ac:dyDescent="0.25">
      <c r="A39" s="254">
        <v>2018</v>
      </c>
      <c r="B39" s="254">
        <v>19004</v>
      </c>
      <c r="C39" s="255" t="s">
        <v>233</v>
      </c>
      <c r="D39" s="254">
        <v>10</v>
      </c>
      <c r="E39" s="256">
        <v>235966.73</v>
      </c>
      <c r="F39" s="256">
        <v>0</v>
      </c>
      <c r="G39" s="256">
        <v>44125.87</v>
      </c>
      <c r="H39" s="256">
        <v>1816.4</v>
      </c>
      <c r="I39" s="256">
        <v>0</v>
      </c>
      <c r="J39" s="256">
        <v>19484.45</v>
      </c>
      <c r="K39" s="250">
        <f t="shared" si="3"/>
        <v>301393.45000000007</v>
      </c>
      <c r="L39" s="251">
        <v>490.25</v>
      </c>
      <c r="M39" s="252">
        <f t="shared" si="4"/>
        <v>614.77501274859776</v>
      </c>
      <c r="N39" s="253">
        <f t="shared" si="2"/>
        <v>0.76648787781465155</v>
      </c>
    </row>
    <row r="40" spans="1:14" x14ac:dyDescent="0.25">
      <c r="A40" s="254">
        <v>2018</v>
      </c>
      <c r="B40" s="254">
        <v>56002</v>
      </c>
      <c r="C40" s="255" t="s">
        <v>234</v>
      </c>
      <c r="D40" s="254">
        <v>10</v>
      </c>
      <c r="E40" s="256">
        <v>73080.72</v>
      </c>
      <c r="F40" s="256">
        <v>0</v>
      </c>
      <c r="G40" s="256">
        <v>6997.32</v>
      </c>
      <c r="H40" s="256">
        <v>0</v>
      </c>
      <c r="I40" s="256">
        <v>0</v>
      </c>
      <c r="J40" s="256">
        <v>16427.88</v>
      </c>
      <c r="K40" s="250">
        <f t="shared" si="3"/>
        <v>96505.920000000013</v>
      </c>
      <c r="L40" s="251">
        <v>174</v>
      </c>
      <c r="M40" s="252">
        <f t="shared" si="4"/>
        <v>554.63172413793109</v>
      </c>
      <c r="N40" s="253">
        <f t="shared" si="2"/>
        <v>0.59367280228376496</v>
      </c>
    </row>
    <row r="41" spans="1:14" x14ac:dyDescent="0.25">
      <c r="A41" s="254">
        <v>2018</v>
      </c>
      <c r="B41" s="254">
        <v>51001</v>
      </c>
      <c r="C41" s="255" t="s">
        <v>235</v>
      </c>
      <c r="D41" s="254">
        <v>10</v>
      </c>
      <c r="E41" s="256">
        <v>172627.15</v>
      </c>
      <c r="F41" s="256">
        <v>0</v>
      </c>
      <c r="G41" s="256">
        <v>204286.69</v>
      </c>
      <c r="H41" s="256">
        <v>0</v>
      </c>
      <c r="I41" s="256">
        <v>0</v>
      </c>
      <c r="J41" s="256">
        <v>52679.79</v>
      </c>
      <c r="K41" s="250">
        <f t="shared" si="3"/>
        <v>429593.62999999995</v>
      </c>
      <c r="L41" s="251">
        <v>2924.58</v>
      </c>
      <c r="M41" s="252">
        <f t="shared" si="4"/>
        <v>146.89070909327151</v>
      </c>
      <c r="N41" s="253">
        <f t="shared" si="2"/>
        <v>-0.57792582392581249</v>
      </c>
    </row>
    <row r="42" spans="1:14" x14ac:dyDescent="0.25">
      <c r="A42" s="254">
        <v>2018</v>
      </c>
      <c r="B42" s="254">
        <v>64002</v>
      </c>
      <c r="C42" s="255" t="s">
        <v>236</v>
      </c>
      <c r="D42" s="254">
        <v>10</v>
      </c>
      <c r="E42" s="256">
        <v>30722.55</v>
      </c>
      <c r="F42" s="256">
        <v>0</v>
      </c>
      <c r="G42" s="256">
        <v>5172.04</v>
      </c>
      <c r="H42" s="256">
        <v>0</v>
      </c>
      <c r="I42" s="256">
        <v>0</v>
      </c>
      <c r="J42" s="256">
        <v>94044.49</v>
      </c>
      <c r="K42" s="250">
        <f t="shared" si="3"/>
        <v>129939.08</v>
      </c>
      <c r="L42" s="251">
        <v>374.95</v>
      </c>
      <c r="M42" s="252">
        <f t="shared" si="4"/>
        <v>346.55042005600751</v>
      </c>
      <c r="N42" s="253">
        <f t="shared" si="2"/>
        <v>-4.2257681496684629E-3</v>
      </c>
    </row>
    <row r="43" spans="1:14" x14ac:dyDescent="0.25">
      <c r="A43" s="254">
        <v>2018</v>
      </c>
      <c r="B43" s="254">
        <v>20001</v>
      </c>
      <c r="C43" s="255" t="s">
        <v>237</v>
      </c>
      <c r="D43" s="254">
        <v>10</v>
      </c>
      <c r="E43" s="256">
        <v>92618.62</v>
      </c>
      <c r="F43" s="256">
        <v>0</v>
      </c>
      <c r="G43" s="256">
        <v>8238.08</v>
      </c>
      <c r="H43" s="256">
        <v>0</v>
      </c>
      <c r="I43" s="256">
        <v>0</v>
      </c>
      <c r="J43" s="256">
        <v>18818.04</v>
      </c>
      <c r="K43" s="250">
        <f t="shared" si="3"/>
        <v>119674.73999999999</v>
      </c>
      <c r="L43" s="251">
        <v>355.01</v>
      </c>
      <c r="M43" s="252">
        <f t="shared" si="4"/>
        <v>337.10244781837127</v>
      </c>
      <c r="N43" s="253">
        <f t="shared" si="2"/>
        <v>-3.1373469473923055E-2</v>
      </c>
    </row>
    <row r="44" spans="1:14" x14ac:dyDescent="0.25">
      <c r="A44" s="254">
        <v>2018</v>
      </c>
      <c r="B44" s="254">
        <v>23001</v>
      </c>
      <c r="C44" s="255" t="s">
        <v>238</v>
      </c>
      <c r="D44" s="254">
        <v>10</v>
      </c>
      <c r="E44" s="256">
        <v>38082.879999999997</v>
      </c>
      <c r="F44" s="256">
        <v>0</v>
      </c>
      <c r="G44" s="256">
        <v>12419.94</v>
      </c>
      <c r="H44" s="256">
        <v>391.85</v>
      </c>
      <c r="I44" s="256">
        <v>0</v>
      </c>
      <c r="J44" s="256">
        <v>5370.33</v>
      </c>
      <c r="K44" s="250">
        <f t="shared" si="3"/>
        <v>56265</v>
      </c>
      <c r="L44" s="251">
        <v>153.29</v>
      </c>
      <c r="M44" s="252">
        <f t="shared" si="4"/>
        <v>367.04938352143</v>
      </c>
      <c r="N44" s="253">
        <f t="shared" si="2"/>
        <v>5.4675731941458805E-2</v>
      </c>
    </row>
    <row r="45" spans="1:14" x14ac:dyDescent="0.25">
      <c r="A45" s="254">
        <v>2018</v>
      </c>
      <c r="B45" s="254">
        <v>22005</v>
      </c>
      <c r="C45" s="255" t="s">
        <v>239</v>
      </c>
      <c r="D45" s="254">
        <v>10</v>
      </c>
      <c r="E45" s="256">
        <v>63990.46</v>
      </c>
      <c r="F45" s="256">
        <v>0</v>
      </c>
      <c r="G45" s="256">
        <v>17772.71</v>
      </c>
      <c r="H45" s="256">
        <v>0</v>
      </c>
      <c r="I45" s="256">
        <v>0</v>
      </c>
      <c r="J45" s="256">
        <v>21959.53</v>
      </c>
      <c r="K45" s="250">
        <f t="shared" si="3"/>
        <v>103722.7</v>
      </c>
      <c r="L45" s="251">
        <v>147</v>
      </c>
      <c r="M45" s="252">
        <f t="shared" si="4"/>
        <v>705.59659863945581</v>
      </c>
      <c r="N45" s="253">
        <f t="shared" si="2"/>
        <v>1.0274536412128952</v>
      </c>
    </row>
    <row r="46" spans="1:14" x14ac:dyDescent="0.25">
      <c r="A46" s="254">
        <v>2018</v>
      </c>
      <c r="B46" s="254">
        <v>16002</v>
      </c>
      <c r="C46" s="255" t="s">
        <v>240</v>
      </c>
      <c r="D46" s="254">
        <v>10</v>
      </c>
      <c r="E46" s="256">
        <v>5239.38</v>
      </c>
      <c r="F46" s="256">
        <v>0</v>
      </c>
      <c r="G46" s="256">
        <v>717.25</v>
      </c>
      <c r="H46" s="256">
        <v>0</v>
      </c>
      <c r="I46" s="256">
        <v>0</v>
      </c>
      <c r="J46" s="256">
        <v>309.38</v>
      </c>
      <c r="K46" s="250">
        <f t="shared" si="3"/>
        <v>6266.01</v>
      </c>
      <c r="L46" s="251">
        <v>10</v>
      </c>
      <c r="M46" s="252">
        <f t="shared" si="4"/>
        <v>626.601</v>
      </c>
      <c r="N46" s="253">
        <f t="shared" si="2"/>
        <v>0.80046854178047133</v>
      </c>
    </row>
    <row r="47" spans="1:14" x14ac:dyDescent="0.25">
      <c r="A47" s="254">
        <v>2018</v>
      </c>
      <c r="B47" s="254">
        <v>61007</v>
      </c>
      <c r="C47" s="255" t="s">
        <v>241</v>
      </c>
      <c r="D47" s="254">
        <v>10</v>
      </c>
      <c r="E47" s="256">
        <v>122673.82</v>
      </c>
      <c r="F47" s="256">
        <v>0</v>
      </c>
      <c r="G47" s="256">
        <v>101923.73</v>
      </c>
      <c r="H47" s="256">
        <v>0</v>
      </c>
      <c r="I47" s="256">
        <v>0</v>
      </c>
      <c r="J47" s="256">
        <v>29737.84</v>
      </c>
      <c r="K47" s="250">
        <f t="shared" si="3"/>
        <v>254335.38999999998</v>
      </c>
      <c r="L47" s="251">
        <v>687</v>
      </c>
      <c r="M47" s="252">
        <f t="shared" si="4"/>
        <v>370.21163027656473</v>
      </c>
      <c r="N47" s="253">
        <f t="shared" si="2"/>
        <v>6.3762097593552225E-2</v>
      </c>
    </row>
    <row r="48" spans="1:14" x14ac:dyDescent="0.25">
      <c r="A48" s="254">
        <v>2018</v>
      </c>
      <c r="B48" s="254">
        <v>5003</v>
      </c>
      <c r="C48" s="255" t="s">
        <v>242</v>
      </c>
      <c r="D48" s="254">
        <v>10</v>
      </c>
      <c r="E48" s="256">
        <v>93035.24</v>
      </c>
      <c r="F48" s="256">
        <v>0</v>
      </c>
      <c r="G48" s="256">
        <v>32696.13</v>
      </c>
      <c r="H48" s="256">
        <v>0</v>
      </c>
      <c r="I48" s="256">
        <v>114756.3</v>
      </c>
      <c r="J48" s="256">
        <v>38458.06</v>
      </c>
      <c r="K48" s="250">
        <f t="shared" si="3"/>
        <v>278945.73</v>
      </c>
      <c r="L48" s="251">
        <v>310</v>
      </c>
      <c r="M48" s="252">
        <f t="shared" si="4"/>
        <v>899.82493548387095</v>
      </c>
      <c r="N48" s="253">
        <f t="shared" si="2"/>
        <v>1.5855472452938182</v>
      </c>
    </row>
    <row r="49" spans="1:14" x14ac:dyDescent="0.25">
      <c r="A49" s="254">
        <v>2018</v>
      </c>
      <c r="B49" s="254">
        <v>28002</v>
      </c>
      <c r="C49" s="255" t="s">
        <v>243</v>
      </c>
      <c r="D49" s="254">
        <v>10</v>
      </c>
      <c r="E49" s="256">
        <v>104405.13</v>
      </c>
      <c r="F49" s="256">
        <v>0</v>
      </c>
      <c r="G49" s="256">
        <v>14211.69</v>
      </c>
      <c r="H49" s="256">
        <v>131.05000000000001</v>
      </c>
      <c r="I49" s="256">
        <v>0</v>
      </c>
      <c r="J49" s="256">
        <v>15183.03</v>
      </c>
      <c r="K49" s="250">
        <f t="shared" si="3"/>
        <v>133930.90000000002</v>
      </c>
      <c r="L49" s="251">
        <v>271</v>
      </c>
      <c r="M49" s="252">
        <f t="shared" si="4"/>
        <v>494.20996309963107</v>
      </c>
      <c r="N49" s="253">
        <f t="shared" si="2"/>
        <v>0.42005756708874276</v>
      </c>
    </row>
    <row r="50" spans="1:14" x14ac:dyDescent="0.25">
      <c r="A50" s="254">
        <v>2018</v>
      </c>
      <c r="B50" s="254">
        <v>17001</v>
      </c>
      <c r="C50" s="255" t="s">
        <v>244</v>
      </c>
      <c r="D50" s="254">
        <v>10</v>
      </c>
      <c r="E50" s="256">
        <v>37587.49</v>
      </c>
      <c r="F50" s="256">
        <v>0</v>
      </c>
      <c r="G50" s="256">
        <v>13923.54</v>
      </c>
      <c r="H50" s="256">
        <v>636.96</v>
      </c>
      <c r="I50" s="256">
        <v>0</v>
      </c>
      <c r="J50" s="256">
        <v>7068.73</v>
      </c>
      <c r="K50" s="250">
        <f t="shared" si="3"/>
        <v>59216.72</v>
      </c>
      <c r="L50" s="251">
        <v>248</v>
      </c>
      <c r="M50" s="252">
        <f t="shared" si="4"/>
        <v>238.77709677419355</v>
      </c>
      <c r="N50" s="253">
        <f t="shared" si="2"/>
        <v>-0.31390047057121406</v>
      </c>
    </row>
    <row r="51" spans="1:14" x14ac:dyDescent="0.25">
      <c r="A51" s="254">
        <v>2018</v>
      </c>
      <c r="B51" s="254">
        <v>44001</v>
      </c>
      <c r="C51" s="255" t="s">
        <v>245</v>
      </c>
      <c r="D51" s="254">
        <v>10</v>
      </c>
      <c r="E51" s="256">
        <v>86909.82</v>
      </c>
      <c r="F51" s="256">
        <v>0</v>
      </c>
      <c r="G51" s="256">
        <v>7197.47</v>
      </c>
      <c r="H51" s="256">
        <v>0</v>
      </c>
      <c r="I51" s="256">
        <v>0</v>
      </c>
      <c r="J51" s="256">
        <v>13764.53</v>
      </c>
      <c r="K51" s="250">
        <f t="shared" si="3"/>
        <v>107871.82</v>
      </c>
      <c r="L51" s="251">
        <v>153</v>
      </c>
      <c r="M51" s="252">
        <f t="shared" si="4"/>
        <v>705.04457516339869</v>
      </c>
      <c r="N51" s="253">
        <f t="shared" si="2"/>
        <v>1.0258674629224598</v>
      </c>
    </row>
    <row r="52" spans="1:14" x14ac:dyDescent="0.25">
      <c r="A52" s="254">
        <v>2018</v>
      </c>
      <c r="B52" s="254">
        <v>46002</v>
      </c>
      <c r="C52" s="255" t="s">
        <v>246</v>
      </c>
      <c r="D52" s="254">
        <v>10</v>
      </c>
      <c r="E52" s="256">
        <v>23632.44</v>
      </c>
      <c r="F52" s="256">
        <v>0</v>
      </c>
      <c r="G52" s="256">
        <v>17588.32</v>
      </c>
      <c r="H52" s="256">
        <v>0</v>
      </c>
      <c r="I52" s="256">
        <v>0</v>
      </c>
      <c r="J52" s="256">
        <v>18542.41</v>
      </c>
      <c r="K52" s="250">
        <f t="shared" si="3"/>
        <v>59763.17</v>
      </c>
      <c r="L52" s="251">
        <v>164</v>
      </c>
      <c r="M52" s="252">
        <f t="shared" si="4"/>
        <v>364.40957317073168</v>
      </c>
      <c r="N52" s="253">
        <f t="shared" si="2"/>
        <v>4.7090529407950443E-2</v>
      </c>
    </row>
    <row r="53" spans="1:14" x14ac:dyDescent="0.25">
      <c r="A53" s="254">
        <v>2018</v>
      </c>
      <c r="B53" s="254">
        <v>24004</v>
      </c>
      <c r="C53" s="255" t="s">
        <v>374</v>
      </c>
      <c r="D53" s="254">
        <v>10</v>
      </c>
      <c r="E53" s="256">
        <v>111209.21</v>
      </c>
      <c r="F53" s="256">
        <v>0</v>
      </c>
      <c r="G53" s="256">
        <v>18716.400000000001</v>
      </c>
      <c r="H53" s="256">
        <v>85.22</v>
      </c>
      <c r="I53" s="256">
        <v>0</v>
      </c>
      <c r="J53" s="256">
        <v>16892.75</v>
      </c>
      <c r="K53" s="250">
        <f t="shared" si="3"/>
        <v>146903.58000000002</v>
      </c>
      <c r="L53" s="251">
        <v>306</v>
      </c>
      <c r="M53" s="252">
        <f t="shared" si="4"/>
        <v>480.07705882352946</v>
      </c>
      <c r="N53" s="253">
        <f t="shared" si="2"/>
        <v>0.37944823267479233</v>
      </c>
    </row>
    <row r="54" spans="1:14" x14ac:dyDescent="0.25">
      <c r="A54" s="254">
        <v>2018</v>
      </c>
      <c r="B54" s="254">
        <v>50003</v>
      </c>
      <c r="C54" s="255" t="s">
        <v>248</v>
      </c>
      <c r="D54" s="254">
        <v>10</v>
      </c>
      <c r="E54" s="256">
        <v>85177.72</v>
      </c>
      <c r="F54" s="256">
        <v>0</v>
      </c>
      <c r="G54" s="256">
        <v>104116.89</v>
      </c>
      <c r="H54" s="256">
        <v>0</v>
      </c>
      <c r="I54" s="256">
        <v>0</v>
      </c>
      <c r="J54" s="256">
        <v>18386.64</v>
      </c>
      <c r="K54" s="250">
        <f t="shared" si="3"/>
        <v>207681.25</v>
      </c>
      <c r="L54" s="251">
        <v>683.84</v>
      </c>
      <c r="M54" s="252">
        <f t="shared" si="4"/>
        <v>303.69859908750584</v>
      </c>
      <c r="N54" s="253">
        <f t="shared" si="2"/>
        <v>-0.12735572742486267</v>
      </c>
    </row>
    <row r="55" spans="1:14" x14ac:dyDescent="0.25">
      <c r="A55" s="254">
        <v>2018</v>
      </c>
      <c r="B55" s="254">
        <v>14001</v>
      </c>
      <c r="C55" s="255" t="s">
        <v>249</v>
      </c>
      <c r="D55" s="254">
        <v>10</v>
      </c>
      <c r="E55" s="256">
        <v>40039.18</v>
      </c>
      <c r="F55" s="256">
        <v>0</v>
      </c>
      <c r="G55" s="256">
        <v>15376.14</v>
      </c>
      <c r="H55" s="256">
        <v>0</v>
      </c>
      <c r="I55" s="256">
        <v>0</v>
      </c>
      <c r="J55" s="256">
        <v>25401.88</v>
      </c>
      <c r="K55" s="250">
        <f t="shared" si="3"/>
        <v>80817.2</v>
      </c>
      <c r="L55" s="251">
        <v>256</v>
      </c>
      <c r="M55" s="252">
        <f t="shared" si="4"/>
        <v>315.69218749999999</v>
      </c>
      <c r="N55" s="253">
        <f t="shared" si="2"/>
        <v>-9.2893480094011882E-2</v>
      </c>
    </row>
    <row r="56" spans="1:14" x14ac:dyDescent="0.25">
      <c r="A56" s="254">
        <v>2018</v>
      </c>
      <c r="B56" s="254">
        <v>6002</v>
      </c>
      <c r="C56" s="255" t="s">
        <v>250</v>
      </c>
      <c r="D56" s="254">
        <v>10</v>
      </c>
      <c r="E56" s="256">
        <v>55460.73</v>
      </c>
      <c r="F56" s="256">
        <v>0</v>
      </c>
      <c r="G56" s="256">
        <v>11507.58</v>
      </c>
      <c r="H56" s="256">
        <v>0</v>
      </c>
      <c r="I56" s="256">
        <v>0</v>
      </c>
      <c r="J56" s="256">
        <v>29476.93</v>
      </c>
      <c r="K56" s="250">
        <f t="shared" si="3"/>
        <v>96445.239999999991</v>
      </c>
      <c r="L56" s="251">
        <v>160.6</v>
      </c>
      <c r="M56" s="252">
        <f t="shared" si="4"/>
        <v>600.53075965130756</v>
      </c>
      <c r="N56" s="253">
        <f t="shared" si="2"/>
        <v>0.72555859490123442</v>
      </c>
    </row>
    <row r="57" spans="1:14" x14ac:dyDescent="0.25">
      <c r="A57" s="254">
        <v>2018</v>
      </c>
      <c r="B57" s="254">
        <v>33001</v>
      </c>
      <c r="C57" s="255" t="s">
        <v>251</v>
      </c>
      <c r="D57" s="254">
        <v>10</v>
      </c>
      <c r="E57" s="256">
        <v>139269.4</v>
      </c>
      <c r="F57" s="256">
        <v>0</v>
      </c>
      <c r="G57" s="256">
        <v>11318.85</v>
      </c>
      <c r="H57" s="256">
        <v>0</v>
      </c>
      <c r="I57" s="256">
        <v>0</v>
      </c>
      <c r="J57" s="256">
        <v>35591.75</v>
      </c>
      <c r="K57" s="250">
        <f t="shared" si="3"/>
        <v>186180</v>
      </c>
      <c r="L57" s="251">
        <v>318.02</v>
      </c>
      <c r="M57" s="252">
        <f t="shared" si="4"/>
        <v>585.4348783095403</v>
      </c>
      <c r="N57" s="253">
        <f t="shared" si="2"/>
        <v>0.68218225259360521</v>
      </c>
    </row>
    <row r="58" spans="1:14" x14ac:dyDescent="0.25">
      <c r="A58" s="254">
        <v>2018</v>
      </c>
      <c r="B58" s="254">
        <v>49004</v>
      </c>
      <c r="C58" s="255" t="s">
        <v>252</v>
      </c>
      <c r="D58" s="254">
        <v>10</v>
      </c>
      <c r="E58" s="256">
        <v>130677.98</v>
      </c>
      <c r="F58" s="256">
        <v>0</v>
      </c>
      <c r="G58" s="256">
        <v>16593.240000000002</v>
      </c>
      <c r="H58" s="256">
        <v>0</v>
      </c>
      <c r="I58" s="256">
        <v>0</v>
      </c>
      <c r="J58" s="256">
        <v>91727.11</v>
      </c>
      <c r="K58" s="250">
        <f t="shared" si="3"/>
        <v>238998.33000000002</v>
      </c>
      <c r="L58" s="251">
        <v>477</v>
      </c>
      <c r="M58" s="252">
        <f t="shared" si="4"/>
        <v>501.04471698113213</v>
      </c>
      <c r="N58" s="253">
        <f t="shared" si="2"/>
        <v>0.43969647502928955</v>
      </c>
    </row>
    <row r="59" spans="1:14" x14ac:dyDescent="0.25">
      <c r="A59" s="254">
        <v>2018</v>
      </c>
      <c r="B59" s="254">
        <v>63001</v>
      </c>
      <c r="C59" s="255" t="s">
        <v>253</v>
      </c>
      <c r="D59" s="254">
        <v>10</v>
      </c>
      <c r="E59" s="256">
        <v>33198.129999999997</v>
      </c>
      <c r="F59" s="256">
        <v>0</v>
      </c>
      <c r="G59" s="256">
        <v>25757.61</v>
      </c>
      <c r="H59" s="256">
        <v>0</v>
      </c>
      <c r="I59" s="256">
        <v>0</v>
      </c>
      <c r="J59" s="256">
        <v>25987.47</v>
      </c>
      <c r="K59" s="250">
        <f t="shared" si="3"/>
        <v>84943.209999999992</v>
      </c>
      <c r="L59" s="251">
        <v>279</v>
      </c>
      <c r="M59" s="252">
        <f t="shared" si="4"/>
        <v>304.45594982078848</v>
      </c>
      <c r="N59" s="253">
        <f t="shared" si="2"/>
        <v>-0.12517956401246833</v>
      </c>
    </row>
    <row r="60" spans="1:14" x14ac:dyDescent="0.25">
      <c r="A60" s="254">
        <v>2018</v>
      </c>
      <c r="B60" s="254">
        <v>53001</v>
      </c>
      <c r="C60" s="255" t="s">
        <v>254</v>
      </c>
      <c r="D60" s="254">
        <v>10</v>
      </c>
      <c r="E60" s="256">
        <v>73229.37</v>
      </c>
      <c r="F60" s="256">
        <v>0</v>
      </c>
      <c r="G60" s="256">
        <v>19775.11</v>
      </c>
      <c r="H60" s="256">
        <v>0</v>
      </c>
      <c r="I60" s="256">
        <v>0</v>
      </c>
      <c r="J60" s="256">
        <v>26999.62</v>
      </c>
      <c r="K60" s="250">
        <f t="shared" si="3"/>
        <v>120004.09999999999</v>
      </c>
      <c r="L60" s="251">
        <v>243.04</v>
      </c>
      <c r="M60" s="252">
        <f t="shared" si="4"/>
        <v>493.76275510204079</v>
      </c>
      <c r="N60" s="253">
        <f t="shared" si="2"/>
        <v>0.41877256446140265</v>
      </c>
    </row>
    <row r="61" spans="1:14" x14ac:dyDescent="0.25">
      <c r="A61" s="254">
        <v>2018</v>
      </c>
      <c r="B61" s="254">
        <v>26004</v>
      </c>
      <c r="C61" s="255" t="s">
        <v>255</v>
      </c>
      <c r="D61" s="254">
        <v>10</v>
      </c>
      <c r="E61" s="256">
        <v>138910.85</v>
      </c>
      <c r="F61" s="256">
        <v>0</v>
      </c>
      <c r="G61" s="256">
        <v>12947.38</v>
      </c>
      <c r="H61" s="256">
        <v>1033.3399999999999</v>
      </c>
      <c r="I61" s="256">
        <v>0</v>
      </c>
      <c r="J61" s="256">
        <v>29795.26</v>
      </c>
      <c r="K61" s="250">
        <f t="shared" si="3"/>
        <v>182686.83000000002</v>
      </c>
      <c r="L61" s="251">
        <v>371</v>
      </c>
      <c r="M61" s="252">
        <f t="shared" si="4"/>
        <v>492.41733153638819</v>
      </c>
      <c r="N61" s="253">
        <f t="shared" si="2"/>
        <v>0.41490663892772539</v>
      </c>
    </row>
    <row r="62" spans="1:14" x14ac:dyDescent="0.25">
      <c r="A62" s="254">
        <v>2018</v>
      </c>
      <c r="B62" s="254">
        <v>6006</v>
      </c>
      <c r="C62" s="255" t="s">
        <v>256</v>
      </c>
      <c r="D62" s="254">
        <v>10</v>
      </c>
      <c r="E62" s="256">
        <v>697195.58</v>
      </c>
      <c r="F62" s="256">
        <v>0</v>
      </c>
      <c r="G62" s="256">
        <v>44426.65</v>
      </c>
      <c r="H62" s="256">
        <v>262.92</v>
      </c>
      <c r="I62" s="256">
        <v>174333.18</v>
      </c>
      <c r="J62" s="256">
        <v>65438.5</v>
      </c>
      <c r="K62" s="250">
        <f t="shared" si="3"/>
        <v>981656.83000000007</v>
      </c>
      <c r="L62" s="251">
        <v>568</v>
      </c>
      <c r="M62" s="252">
        <f t="shared" si="4"/>
        <v>1728.2690669014087</v>
      </c>
      <c r="N62" s="253">
        <f t="shared" si="2"/>
        <v>3.9659896595892361</v>
      </c>
    </row>
    <row r="63" spans="1:14" x14ac:dyDescent="0.25">
      <c r="A63" s="254">
        <v>2018</v>
      </c>
      <c r="B63" s="254">
        <v>27001</v>
      </c>
      <c r="C63" s="255" t="s">
        <v>257</v>
      </c>
      <c r="D63" s="254">
        <v>10</v>
      </c>
      <c r="E63" s="256">
        <v>119954.32</v>
      </c>
      <c r="F63" s="256">
        <v>0</v>
      </c>
      <c r="G63" s="256">
        <v>12840.43</v>
      </c>
      <c r="H63" s="256">
        <v>0</v>
      </c>
      <c r="I63" s="256">
        <v>0</v>
      </c>
      <c r="J63" s="256">
        <v>68680.789999999994</v>
      </c>
      <c r="K63" s="250">
        <f t="shared" si="3"/>
        <v>201475.53999999998</v>
      </c>
      <c r="L63" s="251">
        <v>302</v>
      </c>
      <c r="M63" s="252">
        <f t="shared" si="4"/>
        <v>667.13754966887416</v>
      </c>
      <c r="N63" s="253">
        <f t="shared" si="2"/>
        <v>0.91694582552424042</v>
      </c>
    </row>
    <row r="64" spans="1:14" x14ac:dyDescent="0.25">
      <c r="A64" s="254">
        <v>2018</v>
      </c>
      <c r="B64" s="254">
        <v>28003</v>
      </c>
      <c r="C64" s="255" t="s">
        <v>258</v>
      </c>
      <c r="D64" s="254">
        <v>10</v>
      </c>
      <c r="E64" s="256">
        <v>167034.23999999999</v>
      </c>
      <c r="F64" s="256">
        <v>0</v>
      </c>
      <c r="G64" s="256">
        <v>42601.56</v>
      </c>
      <c r="H64" s="256">
        <v>2346.84</v>
      </c>
      <c r="I64" s="256">
        <v>0</v>
      </c>
      <c r="J64" s="256">
        <v>38485.339999999997</v>
      </c>
      <c r="K64" s="250">
        <f t="shared" si="3"/>
        <v>250467.97999999998</v>
      </c>
      <c r="L64" s="251">
        <v>783</v>
      </c>
      <c r="M64" s="252">
        <f t="shared" si="4"/>
        <v>319.88247765006383</v>
      </c>
      <c r="N64" s="253">
        <f t="shared" si="2"/>
        <v>-8.0853145660899628E-2</v>
      </c>
    </row>
    <row r="65" spans="1:14" x14ac:dyDescent="0.25">
      <c r="A65" s="254">
        <v>2018</v>
      </c>
      <c r="B65" s="254">
        <v>30001</v>
      </c>
      <c r="C65" s="255" t="s">
        <v>259</v>
      </c>
      <c r="D65" s="254">
        <v>10</v>
      </c>
      <c r="E65" s="256">
        <v>90063.93</v>
      </c>
      <c r="F65" s="256">
        <v>0</v>
      </c>
      <c r="G65" s="256">
        <v>25428.57</v>
      </c>
      <c r="H65" s="256">
        <v>2638.3</v>
      </c>
      <c r="I65" s="256">
        <v>0</v>
      </c>
      <c r="J65" s="256">
        <v>7947.56</v>
      </c>
      <c r="K65" s="250">
        <f t="shared" si="3"/>
        <v>126078.36</v>
      </c>
      <c r="L65" s="251">
        <v>409</v>
      </c>
      <c r="M65" s="252">
        <f t="shared" si="4"/>
        <v>308.26004889975547</v>
      </c>
      <c r="N65" s="253">
        <f t="shared" si="2"/>
        <v>-0.11424890682951427</v>
      </c>
    </row>
    <row r="66" spans="1:14" x14ac:dyDescent="0.25">
      <c r="A66" s="254">
        <v>2018</v>
      </c>
      <c r="B66" s="254">
        <v>41002</v>
      </c>
      <c r="C66" s="255" t="s">
        <v>261</v>
      </c>
      <c r="D66" s="254">
        <v>10</v>
      </c>
      <c r="E66" s="256">
        <v>228194.38</v>
      </c>
      <c r="F66" s="256">
        <v>0</v>
      </c>
      <c r="G66" s="256">
        <v>150668.23000000001</v>
      </c>
      <c r="H66" s="256">
        <v>0</v>
      </c>
      <c r="I66" s="256">
        <v>0</v>
      </c>
      <c r="J66" s="256">
        <v>342813</v>
      </c>
      <c r="K66" s="250">
        <f t="shared" si="3"/>
        <v>721675.61</v>
      </c>
      <c r="L66" s="251">
        <v>4542.16</v>
      </c>
      <c r="M66" s="252">
        <f t="shared" si="4"/>
        <v>158.88379317329199</v>
      </c>
      <c r="N66" s="253">
        <f t="shared" si="2"/>
        <v>-0.54346502573844124</v>
      </c>
    </row>
    <row r="67" spans="1:14" x14ac:dyDescent="0.25">
      <c r="A67" s="254">
        <v>2018</v>
      </c>
      <c r="B67" s="254">
        <v>14002</v>
      </c>
      <c r="C67" s="255" t="s">
        <v>262</v>
      </c>
      <c r="D67" s="254">
        <v>10</v>
      </c>
      <c r="E67" s="256">
        <v>23191.040000000001</v>
      </c>
      <c r="F67" s="256">
        <v>0</v>
      </c>
      <c r="G67" s="256">
        <v>11083.59</v>
      </c>
      <c r="H67" s="256">
        <v>0</v>
      </c>
      <c r="I67" s="256">
        <v>0</v>
      </c>
      <c r="J67" s="256">
        <v>17249.71</v>
      </c>
      <c r="K67" s="250">
        <f t="shared" si="3"/>
        <v>51524.340000000004</v>
      </c>
      <c r="L67" s="251">
        <v>165</v>
      </c>
      <c r="M67" s="252">
        <f t="shared" si="4"/>
        <v>312.26872727272729</v>
      </c>
      <c r="N67" s="253">
        <f t="shared" si="2"/>
        <v>-0.10273041371403657</v>
      </c>
    </row>
    <row r="68" spans="1:14" x14ac:dyDescent="0.25">
      <c r="A68" s="254">
        <v>2018</v>
      </c>
      <c r="B68" s="254">
        <v>10001</v>
      </c>
      <c r="C68" s="255" t="s">
        <v>263</v>
      </c>
      <c r="D68" s="254">
        <v>10</v>
      </c>
      <c r="E68" s="256">
        <v>58498.1</v>
      </c>
      <c r="F68" s="256">
        <v>0</v>
      </c>
      <c r="G68" s="256">
        <v>13315.15</v>
      </c>
      <c r="H68" s="256">
        <v>176.59</v>
      </c>
      <c r="I68" s="256">
        <v>0</v>
      </c>
      <c r="J68" s="256">
        <v>8844.4599999999991</v>
      </c>
      <c r="K68" s="250">
        <f t="shared" ref="K68:K99" si="5">SUM(E68:J68)</f>
        <v>80834.299999999988</v>
      </c>
      <c r="L68" s="251">
        <v>109</v>
      </c>
      <c r="M68" s="252">
        <f t="shared" ref="M68:M99" si="6">K68/L68</f>
        <v>741.59908256880726</v>
      </c>
      <c r="N68" s="253">
        <f t="shared" si="2"/>
        <v>1.1309027894599524</v>
      </c>
    </row>
    <row r="69" spans="1:14" x14ac:dyDescent="0.25">
      <c r="A69" s="254">
        <v>2018</v>
      </c>
      <c r="B69" s="254">
        <v>34002</v>
      </c>
      <c r="C69" s="255" t="s">
        <v>264</v>
      </c>
      <c r="D69" s="254">
        <v>10</v>
      </c>
      <c r="E69" s="256">
        <v>130721.58</v>
      </c>
      <c r="F69" s="256">
        <v>0</v>
      </c>
      <c r="G69" s="256">
        <v>12694.06</v>
      </c>
      <c r="H69" s="256">
        <v>0</v>
      </c>
      <c r="I69" s="256">
        <v>0</v>
      </c>
      <c r="J69" s="256">
        <v>40869.35</v>
      </c>
      <c r="K69" s="250">
        <f t="shared" si="5"/>
        <v>184284.99000000002</v>
      </c>
      <c r="L69" s="251">
        <v>238</v>
      </c>
      <c r="M69" s="252">
        <f t="shared" si="6"/>
        <v>774.30668067226895</v>
      </c>
      <c r="N69" s="253">
        <f t="shared" ref="N69:N132" si="7">(M69/$M$151)-1</f>
        <v>1.224884448382427</v>
      </c>
    </row>
    <row r="70" spans="1:14" x14ac:dyDescent="0.25">
      <c r="A70" s="254">
        <v>2018</v>
      </c>
      <c r="B70" s="254">
        <v>51002</v>
      </c>
      <c r="C70" s="255" t="s">
        <v>265</v>
      </c>
      <c r="D70" s="254">
        <v>10</v>
      </c>
      <c r="E70" s="256">
        <v>100213.16</v>
      </c>
      <c r="F70" s="256">
        <v>0</v>
      </c>
      <c r="G70" s="256">
        <v>24726.37</v>
      </c>
      <c r="H70" s="256">
        <v>977.4</v>
      </c>
      <c r="I70" s="256">
        <v>0</v>
      </c>
      <c r="J70" s="256">
        <v>57411</v>
      </c>
      <c r="K70" s="250">
        <f t="shared" si="5"/>
        <v>183327.93</v>
      </c>
      <c r="L70" s="251">
        <v>456.6</v>
      </c>
      <c r="M70" s="252">
        <f t="shared" si="6"/>
        <v>401.50663600525621</v>
      </c>
      <c r="N70" s="253">
        <f t="shared" si="7"/>
        <v>0.1536848288521182</v>
      </c>
    </row>
    <row r="71" spans="1:14" x14ac:dyDescent="0.25">
      <c r="A71" s="254">
        <v>2018</v>
      </c>
      <c r="B71" s="254">
        <v>56006</v>
      </c>
      <c r="C71" s="255" t="s">
        <v>266</v>
      </c>
      <c r="D71" s="254">
        <v>10</v>
      </c>
      <c r="E71" s="256">
        <v>96816.86</v>
      </c>
      <c r="F71" s="256">
        <v>0</v>
      </c>
      <c r="G71" s="256">
        <v>8343.48</v>
      </c>
      <c r="H71" s="256">
        <v>3600.1</v>
      </c>
      <c r="I71" s="256">
        <v>0</v>
      </c>
      <c r="J71" s="256">
        <v>20925.03</v>
      </c>
      <c r="K71" s="250">
        <f t="shared" si="5"/>
        <v>129685.47</v>
      </c>
      <c r="L71" s="251">
        <v>232</v>
      </c>
      <c r="M71" s="252">
        <f t="shared" si="6"/>
        <v>558.9890948275862</v>
      </c>
      <c r="N71" s="253">
        <f t="shared" si="7"/>
        <v>0.60619322413371446</v>
      </c>
    </row>
    <row r="72" spans="1:14" x14ac:dyDescent="0.25">
      <c r="A72" s="254">
        <v>2018</v>
      </c>
      <c r="B72" s="254">
        <v>23002</v>
      </c>
      <c r="C72" s="255" t="s">
        <v>267</v>
      </c>
      <c r="D72" s="254">
        <v>10</v>
      </c>
      <c r="E72" s="256">
        <v>257327.16</v>
      </c>
      <c r="F72" s="256">
        <v>0</v>
      </c>
      <c r="G72" s="256">
        <v>70172.38</v>
      </c>
      <c r="H72" s="256">
        <v>6364.21</v>
      </c>
      <c r="I72" s="256">
        <v>0</v>
      </c>
      <c r="J72" s="256">
        <v>14759.2</v>
      </c>
      <c r="K72" s="250">
        <f t="shared" si="5"/>
        <v>348622.95000000007</v>
      </c>
      <c r="L72" s="251">
        <v>776.1</v>
      </c>
      <c r="M72" s="252">
        <f t="shared" si="6"/>
        <v>449.19849246231166</v>
      </c>
      <c r="N72" s="253">
        <f t="shared" si="7"/>
        <v>0.29072209379430336</v>
      </c>
    </row>
    <row r="73" spans="1:14" x14ac:dyDescent="0.25">
      <c r="A73" s="254">
        <v>2018</v>
      </c>
      <c r="B73" s="254">
        <v>48003</v>
      </c>
      <c r="C73" s="255" t="s">
        <v>269</v>
      </c>
      <c r="D73" s="254">
        <v>10</v>
      </c>
      <c r="E73" s="256">
        <v>388994.07</v>
      </c>
      <c r="F73" s="256">
        <v>1648.16</v>
      </c>
      <c r="G73" s="256">
        <v>10952.33</v>
      </c>
      <c r="H73" s="256">
        <v>3913.94</v>
      </c>
      <c r="I73" s="256">
        <v>0</v>
      </c>
      <c r="J73" s="256">
        <v>10169.84</v>
      </c>
      <c r="K73" s="250">
        <f t="shared" si="5"/>
        <v>415678.34</v>
      </c>
      <c r="L73" s="251">
        <v>365</v>
      </c>
      <c r="M73" s="252">
        <f t="shared" si="6"/>
        <v>1138.8447671232877</v>
      </c>
      <c r="N73" s="253">
        <f t="shared" si="7"/>
        <v>2.272344246461123</v>
      </c>
    </row>
    <row r="74" spans="1:14" x14ac:dyDescent="0.25">
      <c r="A74" s="254">
        <v>2018</v>
      </c>
      <c r="B74" s="254">
        <v>2002</v>
      </c>
      <c r="C74" s="255" t="s">
        <v>270</v>
      </c>
      <c r="D74" s="254">
        <v>10</v>
      </c>
      <c r="E74" s="256">
        <v>406264.55</v>
      </c>
      <c r="F74" s="256">
        <v>7957.58</v>
      </c>
      <c r="G74" s="256">
        <v>210608.75</v>
      </c>
      <c r="H74" s="256">
        <v>4754.54</v>
      </c>
      <c r="I74" s="256">
        <v>0</v>
      </c>
      <c r="J74" s="256">
        <v>90315.5</v>
      </c>
      <c r="K74" s="250">
        <f t="shared" si="5"/>
        <v>719900.92</v>
      </c>
      <c r="L74" s="251">
        <v>2612.23</v>
      </c>
      <c r="M74" s="252">
        <f t="shared" si="6"/>
        <v>275.58864265397767</v>
      </c>
      <c r="N74" s="253">
        <f t="shared" si="7"/>
        <v>-0.20812657245924193</v>
      </c>
    </row>
    <row r="75" spans="1:14" x14ac:dyDescent="0.25">
      <c r="A75" s="254">
        <v>2018</v>
      </c>
      <c r="B75" s="254">
        <v>22006</v>
      </c>
      <c r="C75" s="255" t="s">
        <v>271</v>
      </c>
      <c r="D75" s="254">
        <v>10</v>
      </c>
      <c r="E75" s="256">
        <v>394950.63</v>
      </c>
      <c r="F75" s="256">
        <v>0</v>
      </c>
      <c r="G75" s="256">
        <v>52725.23</v>
      </c>
      <c r="H75" s="256">
        <v>581.01</v>
      </c>
      <c r="I75" s="256">
        <v>0</v>
      </c>
      <c r="J75" s="256">
        <v>37249.620000000003</v>
      </c>
      <c r="K75" s="250">
        <f t="shared" si="5"/>
        <v>485506.49</v>
      </c>
      <c r="L75" s="251">
        <v>405.49</v>
      </c>
      <c r="M75" s="252">
        <f t="shared" si="6"/>
        <v>1197.3328318824138</v>
      </c>
      <c r="N75" s="253">
        <f t="shared" si="7"/>
        <v>2.4404032196648453</v>
      </c>
    </row>
    <row r="76" spans="1:14" x14ac:dyDescent="0.25">
      <c r="A76" s="254">
        <v>2018</v>
      </c>
      <c r="B76" s="254">
        <v>13003</v>
      </c>
      <c r="C76" s="255" t="s">
        <v>272</v>
      </c>
      <c r="D76" s="254">
        <v>10</v>
      </c>
      <c r="E76" s="256">
        <v>85863.66</v>
      </c>
      <c r="F76" s="256">
        <v>0</v>
      </c>
      <c r="G76" s="256">
        <v>37730.49</v>
      </c>
      <c r="H76" s="256">
        <v>0</v>
      </c>
      <c r="I76" s="256">
        <v>0</v>
      </c>
      <c r="J76" s="256">
        <v>46820.28</v>
      </c>
      <c r="K76" s="250">
        <f t="shared" si="5"/>
        <v>170414.43</v>
      </c>
      <c r="L76" s="251">
        <v>296.3</v>
      </c>
      <c r="M76" s="252">
        <f t="shared" si="6"/>
        <v>575.14151198110017</v>
      </c>
      <c r="N76" s="253">
        <f t="shared" si="7"/>
        <v>0.65260540502493103</v>
      </c>
    </row>
    <row r="77" spans="1:14" x14ac:dyDescent="0.25">
      <c r="A77" s="254">
        <v>2018</v>
      </c>
      <c r="B77" s="254">
        <v>2003</v>
      </c>
      <c r="C77" s="255" t="s">
        <v>273</v>
      </c>
      <c r="D77" s="254">
        <v>10</v>
      </c>
      <c r="E77" s="256">
        <v>48202.12</v>
      </c>
      <c r="F77" s="256">
        <v>0</v>
      </c>
      <c r="G77" s="256">
        <v>14434.28</v>
      </c>
      <c r="H77" s="256">
        <v>4159.09</v>
      </c>
      <c r="I77" s="256">
        <v>0</v>
      </c>
      <c r="J77" s="256">
        <v>21183.57</v>
      </c>
      <c r="K77" s="250">
        <f t="shared" si="5"/>
        <v>87979.06</v>
      </c>
      <c r="L77" s="251">
        <v>219</v>
      </c>
      <c r="M77" s="252">
        <f t="shared" si="6"/>
        <v>401.73086757990865</v>
      </c>
      <c r="N77" s="253">
        <f t="shared" si="7"/>
        <v>0.15432913343547439</v>
      </c>
    </row>
    <row r="78" spans="1:14" x14ac:dyDescent="0.25">
      <c r="A78" s="254">
        <v>2018</v>
      </c>
      <c r="B78" s="254">
        <v>37003</v>
      </c>
      <c r="C78" s="255" t="s">
        <v>274</v>
      </c>
      <c r="D78" s="254">
        <v>10</v>
      </c>
      <c r="E78" s="256">
        <v>99132.65</v>
      </c>
      <c r="F78" s="256">
        <v>0</v>
      </c>
      <c r="G78" s="256">
        <v>50631.7</v>
      </c>
      <c r="H78" s="256">
        <v>2358.27</v>
      </c>
      <c r="I78" s="256">
        <v>0</v>
      </c>
      <c r="J78" s="256">
        <v>22586.21</v>
      </c>
      <c r="K78" s="250">
        <f t="shared" si="5"/>
        <v>174708.82999999996</v>
      </c>
      <c r="L78" s="251">
        <v>187.29</v>
      </c>
      <c r="M78" s="252">
        <f t="shared" si="6"/>
        <v>932.82519088045262</v>
      </c>
      <c r="N78" s="253">
        <f t="shared" si="7"/>
        <v>1.6803698225196229</v>
      </c>
    </row>
    <row r="79" spans="1:14" x14ac:dyDescent="0.25">
      <c r="A79" s="254">
        <v>2018</v>
      </c>
      <c r="B79" s="254">
        <v>35002</v>
      </c>
      <c r="C79" s="255" t="s">
        <v>275</v>
      </c>
      <c r="D79" s="254">
        <v>10</v>
      </c>
      <c r="E79" s="256">
        <v>164807.35</v>
      </c>
      <c r="F79" s="256">
        <v>0</v>
      </c>
      <c r="G79" s="256">
        <v>28164.19</v>
      </c>
      <c r="H79" s="256">
        <v>0</v>
      </c>
      <c r="I79" s="256">
        <v>0</v>
      </c>
      <c r="J79" s="256">
        <v>21678.959999999999</v>
      </c>
      <c r="K79" s="250">
        <f t="shared" si="5"/>
        <v>214650.5</v>
      </c>
      <c r="L79" s="251">
        <v>322</v>
      </c>
      <c r="M79" s="252">
        <f t="shared" si="6"/>
        <v>666.61645962732916</v>
      </c>
      <c r="N79" s="253">
        <f t="shared" si="7"/>
        <v>0.91544853103023738</v>
      </c>
    </row>
    <row r="80" spans="1:14" x14ac:dyDescent="0.25">
      <c r="A80" s="254">
        <v>2018</v>
      </c>
      <c r="B80" s="254">
        <v>7002</v>
      </c>
      <c r="C80" s="255" t="s">
        <v>276</v>
      </c>
      <c r="D80" s="254">
        <v>10</v>
      </c>
      <c r="E80" s="256">
        <v>138484.35999999999</v>
      </c>
      <c r="F80" s="256">
        <v>0</v>
      </c>
      <c r="G80" s="256">
        <v>20254.47</v>
      </c>
      <c r="H80" s="256">
        <v>0</v>
      </c>
      <c r="I80" s="256">
        <v>62801.13</v>
      </c>
      <c r="J80" s="256">
        <v>19806.650000000001</v>
      </c>
      <c r="K80" s="250">
        <f t="shared" si="5"/>
        <v>241346.61</v>
      </c>
      <c r="L80" s="251">
        <v>304.25</v>
      </c>
      <c r="M80" s="252">
        <f t="shared" si="6"/>
        <v>793.25097781429736</v>
      </c>
      <c r="N80" s="253">
        <f t="shared" si="7"/>
        <v>1.2793187870610501</v>
      </c>
    </row>
    <row r="81" spans="1:14" x14ac:dyDescent="0.25">
      <c r="A81" s="254">
        <v>2018</v>
      </c>
      <c r="B81" s="254">
        <v>38003</v>
      </c>
      <c r="C81" s="255" t="s">
        <v>277</v>
      </c>
      <c r="D81" s="254">
        <v>10</v>
      </c>
      <c r="E81" s="256">
        <v>36967.040000000001</v>
      </c>
      <c r="F81" s="256">
        <v>0</v>
      </c>
      <c r="G81" s="256">
        <v>7782.35</v>
      </c>
      <c r="H81" s="256">
        <v>7123.71</v>
      </c>
      <c r="I81" s="256">
        <v>0</v>
      </c>
      <c r="J81" s="256">
        <v>20564</v>
      </c>
      <c r="K81" s="250">
        <f t="shared" si="5"/>
        <v>72437.100000000006</v>
      </c>
      <c r="L81" s="251">
        <v>157</v>
      </c>
      <c r="M81" s="252">
        <f t="shared" si="6"/>
        <v>461.38280254777072</v>
      </c>
      <c r="N81" s="253">
        <f t="shared" si="7"/>
        <v>0.32573235871914008</v>
      </c>
    </row>
    <row r="82" spans="1:14" x14ac:dyDescent="0.25">
      <c r="A82" s="254">
        <v>2018</v>
      </c>
      <c r="B82" s="254">
        <v>45005</v>
      </c>
      <c r="C82" s="255" t="s">
        <v>278</v>
      </c>
      <c r="D82" s="254">
        <v>10</v>
      </c>
      <c r="E82" s="256">
        <v>79237.460000000006</v>
      </c>
      <c r="F82" s="256">
        <v>0</v>
      </c>
      <c r="G82" s="256">
        <v>16647.48</v>
      </c>
      <c r="H82" s="256">
        <v>0</v>
      </c>
      <c r="I82" s="256">
        <v>0</v>
      </c>
      <c r="J82" s="256">
        <v>15620.99</v>
      </c>
      <c r="K82" s="250">
        <f t="shared" si="5"/>
        <v>111505.93000000001</v>
      </c>
      <c r="L82" s="251">
        <v>203</v>
      </c>
      <c r="M82" s="252">
        <f t="shared" si="6"/>
        <v>549.29029556650255</v>
      </c>
      <c r="N82" s="253">
        <f t="shared" si="7"/>
        <v>0.57832479915095081</v>
      </c>
    </row>
    <row r="83" spans="1:14" x14ac:dyDescent="0.25">
      <c r="A83" s="254">
        <v>2018</v>
      </c>
      <c r="B83" s="254">
        <v>40001</v>
      </c>
      <c r="C83" s="255" t="s">
        <v>279</v>
      </c>
      <c r="D83" s="254">
        <v>10</v>
      </c>
      <c r="E83" s="256">
        <v>107897.52</v>
      </c>
      <c r="F83" s="256">
        <v>0</v>
      </c>
      <c r="G83" s="256">
        <v>103693.83</v>
      </c>
      <c r="H83" s="256">
        <v>0</v>
      </c>
      <c r="I83" s="256">
        <v>0</v>
      </c>
      <c r="J83" s="256">
        <v>76291.64</v>
      </c>
      <c r="K83" s="250">
        <f t="shared" si="5"/>
        <v>287882.99</v>
      </c>
      <c r="L83" s="251">
        <v>784.5</v>
      </c>
      <c r="M83" s="252">
        <f t="shared" si="6"/>
        <v>366.96365838113445</v>
      </c>
      <c r="N83" s="253">
        <f t="shared" si="7"/>
        <v>5.4429410249757337E-2</v>
      </c>
    </row>
    <row r="84" spans="1:14" x14ac:dyDescent="0.25">
      <c r="A84" s="254">
        <v>2018</v>
      </c>
      <c r="B84" s="254">
        <v>52004</v>
      </c>
      <c r="C84" s="255" t="s">
        <v>280</v>
      </c>
      <c r="D84" s="254">
        <v>10</v>
      </c>
      <c r="E84" s="256">
        <v>136190.93</v>
      </c>
      <c r="F84" s="256">
        <v>0</v>
      </c>
      <c r="G84" s="256">
        <v>14678.49</v>
      </c>
      <c r="H84" s="256">
        <v>3811.81</v>
      </c>
      <c r="I84" s="256">
        <v>0</v>
      </c>
      <c r="J84" s="256">
        <v>39403.760000000002</v>
      </c>
      <c r="K84" s="250">
        <f t="shared" si="5"/>
        <v>194084.99</v>
      </c>
      <c r="L84" s="251">
        <v>246.19</v>
      </c>
      <c r="M84" s="252">
        <f t="shared" si="6"/>
        <v>788.35448231041062</v>
      </c>
      <c r="N84" s="253">
        <f t="shared" si="7"/>
        <v>1.2652492497961596</v>
      </c>
    </row>
    <row r="85" spans="1:14" x14ac:dyDescent="0.25">
      <c r="A85" s="254">
        <v>2018</v>
      </c>
      <c r="B85" s="254">
        <v>41004</v>
      </c>
      <c r="C85" s="255" t="s">
        <v>281</v>
      </c>
      <c r="D85" s="254">
        <v>10</v>
      </c>
      <c r="E85" s="256">
        <v>427792.09</v>
      </c>
      <c r="F85" s="256">
        <v>0</v>
      </c>
      <c r="G85" s="256">
        <v>41150.339999999997</v>
      </c>
      <c r="H85" s="256">
        <v>0</v>
      </c>
      <c r="I85" s="256">
        <v>0</v>
      </c>
      <c r="J85" s="256">
        <v>70354</v>
      </c>
      <c r="K85" s="250">
        <f t="shared" si="5"/>
        <v>539296.43000000005</v>
      </c>
      <c r="L85" s="251">
        <v>1079</v>
      </c>
      <c r="M85" s="252">
        <f t="shared" si="6"/>
        <v>499.81133456904547</v>
      </c>
      <c r="N85" s="253">
        <f t="shared" si="7"/>
        <v>0.43615248733545031</v>
      </c>
    </row>
    <row r="86" spans="1:14" x14ac:dyDescent="0.25">
      <c r="A86" s="254">
        <v>2018</v>
      </c>
      <c r="B86" s="254">
        <v>44002</v>
      </c>
      <c r="C86" s="255" t="s">
        <v>282</v>
      </c>
      <c r="D86" s="254">
        <v>10</v>
      </c>
      <c r="E86" s="256">
        <v>89806.75</v>
      </c>
      <c r="F86" s="256">
        <v>0</v>
      </c>
      <c r="G86" s="256">
        <v>11499.98</v>
      </c>
      <c r="H86" s="256">
        <v>302.75</v>
      </c>
      <c r="I86" s="256">
        <v>149213.32</v>
      </c>
      <c r="J86" s="256">
        <v>13388.39</v>
      </c>
      <c r="K86" s="250">
        <f t="shared" si="5"/>
        <v>264211.19</v>
      </c>
      <c r="L86" s="251">
        <v>203</v>
      </c>
      <c r="M86" s="252">
        <f t="shared" si="6"/>
        <v>1301.5329556650247</v>
      </c>
      <c r="N86" s="253">
        <f t="shared" si="7"/>
        <v>2.7398107292606202</v>
      </c>
    </row>
    <row r="87" spans="1:14" x14ac:dyDescent="0.25">
      <c r="A87" s="254">
        <v>2018</v>
      </c>
      <c r="B87" s="254">
        <v>42001</v>
      </c>
      <c r="C87" s="255" t="s">
        <v>283</v>
      </c>
      <c r="D87" s="254">
        <v>10</v>
      </c>
      <c r="E87" s="256">
        <v>247844.31</v>
      </c>
      <c r="F87" s="256">
        <v>0</v>
      </c>
      <c r="G87" s="256">
        <v>66582.179999999993</v>
      </c>
      <c r="H87" s="256">
        <v>0</v>
      </c>
      <c r="I87" s="256">
        <v>0</v>
      </c>
      <c r="J87" s="256">
        <v>18869.03</v>
      </c>
      <c r="K87" s="250">
        <f t="shared" si="5"/>
        <v>333295.52</v>
      </c>
      <c r="L87" s="251">
        <v>366</v>
      </c>
      <c r="M87" s="252">
        <f t="shared" si="6"/>
        <v>910.64349726775959</v>
      </c>
      <c r="N87" s="253">
        <f t="shared" si="7"/>
        <v>1.6166331838084389</v>
      </c>
    </row>
    <row r="88" spans="1:14" x14ac:dyDescent="0.25">
      <c r="A88" s="254">
        <v>2018</v>
      </c>
      <c r="B88" s="254">
        <v>39002</v>
      </c>
      <c r="C88" s="255" t="s">
        <v>284</v>
      </c>
      <c r="D88" s="254">
        <v>10</v>
      </c>
      <c r="E88" s="256">
        <v>169906.04</v>
      </c>
      <c r="F88" s="256">
        <v>0</v>
      </c>
      <c r="G88" s="256">
        <v>104529.86</v>
      </c>
      <c r="H88" s="256">
        <v>1840.59</v>
      </c>
      <c r="I88" s="256">
        <v>0</v>
      </c>
      <c r="J88" s="256">
        <v>60119.839999999997</v>
      </c>
      <c r="K88" s="250">
        <f t="shared" si="5"/>
        <v>336396.33000000007</v>
      </c>
      <c r="L88" s="251">
        <v>1222.3</v>
      </c>
      <c r="M88" s="252">
        <f t="shared" si="6"/>
        <v>275.21584717336179</v>
      </c>
      <c r="N88" s="253">
        <f t="shared" si="7"/>
        <v>-0.20919775896447701</v>
      </c>
    </row>
    <row r="89" spans="1:14" x14ac:dyDescent="0.25">
      <c r="A89" s="254">
        <v>2018</v>
      </c>
      <c r="B89" s="254">
        <v>60003</v>
      </c>
      <c r="C89" s="255" t="s">
        <v>285</v>
      </c>
      <c r="D89" s="254">
        <v>10</v>
      </c>
      <c r="E89" s="256">
        <v>301444.15000000002</v>
      </c>
      <c r="F89" s="256">
        <v>0</v>
      </c>
      <c r="G89" s="256">
        <v>12981.63</v>
      </c>
      <c r="H89" s="256">
        <v>1891.34</v>
      </c>
      <c r="I89" s="256">
        <v>0</v>
      </c>
      <c r="J89" s="256">
        <v>10259.290000000001</v>
      </c>
      <c r="K89" s="250">
        <f t="shared" si="5"/>
        <v>326576.41000000003</v>
      </c>
      <c r="L89" s="251">
        <v>174.2</v>
      </c>
      <c r="M89" s="252">
        <f t="shared" si="6"/>
        <v>1874.7210677382323</v>
      </c>
      <c r="N89" s="253">
        <f t="shared" si="7"/>
        <v>4.3868032561004258</v>
      </c>
    </row>
    <row r="90" spans="1:14" x14ac:dyDescent="0.25">
      <c r="A90" s="254">
        <v>2018</v>
      </c>
      <c r="B90" s="254">
        <v>43007</v>
      </c>
      <c r="C90" s="255" t="s">
        <v>286</v>
      </c>
      <c r="D90" s="254">
        <v>10</v>
      </c>
      <c r="E90" s="256">
        <v>134291.62</v>
      </c>
      <c r="F90" s="256">
        <v>0</v>
      </c>
      <c r="G90" s="256">
        <v>25894.18</v>
      </c>
      <c r="H90" s="256">
        <v>0</v>
      </c>
      <c r="I90" s="256">
        <v>0</v>
      </c>
      <c r="J90" s="256">
        <v>14345.07</v>
      </c>
      <c r="K90" s="250">
        <f t="shared" si="5"/>
        <v>174530.87</v>
      </c>
      <c r="L90" s="251">
        <v>378.32</v>
      </c>
      <c r="M90" s="252">
        <f t="shared" si="6"/>
        <v>461.33133326284627</v>
      </c>
      <c r="N90" s="253">
        <f t="shared" si="7"/>
        <v>0.32558446743206182</v>
      </c>
    </row>
    <row r="91" spans="1:14" x14ac:dyDescent="0.25">
      <c r="A91" s="254">
        <v>2018</v>
      </c>
      <c r="B91" s="254">
        <v>15001</v>
      </c>
      <c r="C91" s="255" t="s">
        <v>287</v>
      </c>
      <c r="D91" s="254">
        <v>10</v>
      </c>
      <c r="E91" s="256">
        <v>27608.68</v>
      </c>
      <c r="F91" s="256">
        <v>0</v>
      </c>
      <c r="G91" s="256">
        <v>3008.54</v>
      </c>
      <c r="H91" s="256">
        <v>0</v>
      </c>
      <c r="I91" s="256">
        <v>0</v>
      </c>
      <c r="J91" s="256">
        <v>12687.23</v>
      </c>
      <c r="K91" s="250">
        <f t="shared" si="5"/>
        <v>43304.45</v>
      </c>
      <c r="L91" s="251">
        <v>177</v>
      </c>
      <c r="M91" s="252">
        <f t="shared" si="6"/>
        <v>244.65790960451974</v>
      </c>
      <c r="N91" s="253">
        <f t="shared" si="7"/>
        <v>-0.29700260653795951</v>
      </c>
    </row>
    <row r="92" spans="1:14" x14ac:dyDescent="0.25">
      <c r="A92" s="254">
        <v>2018</v>
      </c>
      <c r="B92" s="254">
        <v>15002</v>
      </c>
      <c r="C92" s="255" t="s">
        <v>288</v>
      </c>
      <c r="D92" s="254">
        <v>10</v>
      </c>
      <c r="E92" s="256">
        <v>76746.86</v>
      </c>
      <c r="F92" s="256">
        <v>0</v>
      </c>
      <c r="G92" s="256">
        <v>20032.5</v>
      </c>
      <c r="H92" s="256">
        <v>0</v>
      </c>
      <c r="I92" s="256">
        <v>0</v>
      </c>
      <c r="J92" s="256">
        <v>15891.94</v>
      </c>
      <c r="K92" s="250">
        <f t="shared" si="5"/>
        <v>112671.3</v>
      </c>
      <c r="L92" s="251">
        <v>441.36</v>
      </c>
      <c r="M92" s="252">
        <f t="shared" si="6"/>
        <v>255.2820826536161</v>
      </c>
      <c r="N92" s="253">
        <f t="shared" si="7"/>
        <v>-0.2664752225131497</v>
      </c>
    </row>
    <row r="93" spans="1:14" x14ac:dyDescent="0.25">
      <c r="A93" s="254">
        <v>2018</v>
      </c>
      <c r="B93" s="254">
        <v>46001</v>
      </c>
      <c r="C93" s="255" t="s">
        <v>289</v>
      </c>
      <c r="D93" s="254">
        <v>10</v>
      </c>
      <c r="E93" s="256">
        <v>246176.06</v>
      </c>
      <c r="F93" s="256">
        <v>4639.32</v>
      </c>
      <c r="G93" s="256">
        <v>356696.83</v>
      </c>
      <c r="H93" s="256">
        <v>0</v>
      </c>
      <c r="I93" s="256">
        <v>0</v>
      </c>
      <c r="J93" s="256">
        <v>82229.710000000006</v>
      </c>
      <c r="K93" s="250">
        <f t="shared" si="5"/>
        <v>689741.91999999993</v>
      </c>
      <c r="L93" s="251">
        <v>2825.25</v>
      </c>
      <c r="M93" s="252">
        <f t="shared" si="6"/>
        <v>244.13482700645957</v>
      </c>
      <c r="N93" s="253">
        <f t="shared" si="7"/>
        <v>-0.29850562642232004</v>
      </c>
    </row>
    <row r="94" spans="1:14" x14ac:dyDescent="0.25">
      <c r="A94" s="254">
        <v>2018</v>
      </c>
      <c r="B94" s="254">
        <v>33002</v>
      </c>
      <c r="C94" s="255" t="s">
        <v>290</v>
      </c>
      <c r="D94" s="254">
        <v>10</v>
      </c>
      <c r="E94" s="256">
        <v>366634.08</v>
      </c>
      <c r="F94" s="256">
        <v>0</v>
      </c>
      <c r="G94" s="256">
        <v>11913.5</v>
      </c>
      <c r="H94" s="256">
        <v>806.18</v>
      </c>
      <c r="I94" s="256">
        <v>0</v>
      </c>
      <c r="J94" s="256">
        <v>25413.38</v>
      </c>
      <c r="K94" s="250">
        <f t="shared" si="5"/>
        <v>404767.14</v>
      </c>
      <c r="L94" s="251">
        <v>280</v>
      </c>
      <c r="M94" s="252">
        <f t="shared" si="6"/>
        <v>1445.5969285714286</v>
      </c>
      <c r="N94" s="253">
        <f t="shared" si="7"/>
        <v>3.1537625921237407</v>
      </c>
    </row>
    <row r="95" spans="1:14" x14ac:dyDescent="0.25">
      <c r="A95" s="254">
        <v>2018</v>
      </c>
      <c r="B95" s="254">
        <v>25004</v>
      </c>
      <c r="C95" s="255" t="s">
        <v>291</v>
      </c>
      <c r="D95" s="254">
        <v>10</v>
      </c>
      <c r="E95" s="256">
        <v>252691.69</v>
      </c>
      <c r="F95" s="256">
        <v>0</v>
      </c>
      <c r="G95" s="256">
        <v>91692.4</v>
      </c>
      <c r="H95" s="256">
        <v>0</v>
      </c>
      <c r="I95" s="256">
        <v>0</v>
      </c>
      <c r="J95" s="256">
        <v>65229.96</v>
      </c>
      <c r="K95" s="250">
        <f t="shared" si="5"/>
        <v>409614.05</v>
      </c>
      <c r="L95" s="251">
        <v>958.25</v>
      </c>
      <c r="M95" s="252">
        <f t="shared" si="6"/>
        <v>427.46052700234804</v>
      </c>
      <c r="N95" s="253">
        <f t="shared" si="7"/>
        <v>0.22826045876184264</v>
      </c>
    </row>
    <row r="96" spans="1:14" x14ac:dyDescent="0.25">
      <c r="A96" s="254">
        <v>2018</v>
      </c>
      <c r="B96" s="254">
        <v>29004</v>
      </c>
      <c r="C96" s="255" t="s">
        <v>292</v>
      </c>
      <c r="D96" s="254">
        <v>10</v>
      </c>
      <c r="E96" s="256">
        <v>130587.55</v>
      </c>
      <c r="F96" s="256">
        <v>3514.21</v>
      </c>
      <c r="G96" s="256">
        <v>47289.52</v>
      </c>
      <c r="H96" s="256">
        <v>0</v>
      </c>
      <c r="I96" s="256">
        <v>43455.1</v>
      </c>
      <c r="J96" s="256">
        <v>36328.04</v>
      </c>
      <c r="K96" s="250">
        <f t="shared" si="5"/>
        <v>261174.42</v>
      </c>
      <c r="L96" s="251">
        <v>465.05</v>
      </c>
      <c r="M96" s="252">
        <f t="shared" si="6"/>
        <v>561.60503171701964</v>
      </c>
      <c r="N96" s="253">
        <f t="shared" si="7"/>
        <v>0.61370982892162251</v>
      </c>
    </row>
    <row r="97" spans="1:14" x14ac:dyDescent="0.25">
      <c r="A97" s="254">
        <v>2018</v>
      </c>
      <c r="B97" s="254">
        <v>17002</v>
      </c>
      <c r="C97" s="255" t="s">
        <v>293</v>
      </c>
      <c r="D97" s="254">
        <v>10</v>
      </c>
      <c r="E97" s="256">
        <v>463899.23</v>
      </c>
      <c r="F97" s="256">
        <v>0</v>
      </c>
      <c r="G97" s="256">
        <v>254810.68</v>
      </c>
      <c r="H97" s="256">
        <v>0</v>
      </c>
      <c r="I97" s="256">
        <v>0</v>
      </c>
      <c r="J97" s="256">
        <v>107320.55</v>
      </c>
      <c r="K97" s="250">
        <f t="shared" si="5"/>
        <v>826030.46</v>
      </c>
      <c r="L97" s="251">
        <v>2791.14</v>
      </c>
      <c r="M97" s="252">
        <f t="shared" si="6"/>
        <v>295.94734051319534</v>
      </c>
      <c r="N97" s="253">
        <f t="shared" si="7"/>
        <v>-0.14962811004514609</v>
      </c>
    </row>
    <row r="98" spans="1:14" x14ac:dyDescent="0.25">
      <c r="A98" s="254">
        <v>2018</v>
      </c>
      <c r="B98" s="254">
        <v>62006</v>
      </c>
      <c r="C98" s="255" t="s">
        <v>294</v>
      </c>
      <c r="D98" s="254">
        <v>10</v>
      </c>
      <c r="E98" s="256">
        <v>152216.29</v>
      </c>
      <c r="F98" s="256">
        <v>0</v>
      </c>
      <c r="G98" s="256">
        <v>26971.73</v>
      </c>
      <c r="H98" s="256">
        <v>0</v>
      </c>
      <c r="I98" s="256">
        <v>159172.57999999999</v>
      </c>
      <c r="J98" s="256">
        <v>38247.64</v>
      </c>
      <c r="K98" s="250">
        <f t="shared" si="5"/>
        <v>376608.24</v>
      </c>
      <c r="L98" s="251">
        <v>627.02</v>
      </c>
      <c r="M98" s="252">
        <f t="shared" si="6"/>
        <v>600.63194156486236</v>
      </c>
      <c r="N98" s="253">
        <f t="shared" si="7"/>
        <v>0.72584932991817919</v>
      </c>
    </row>
    <row r="99" spans="1:14" x14ac:dyDescent="0.25">
      <c r="A99" s="254">
        <v>2018</v>
      </c>
      <c r="B99" s="254">
        <v>43002</v>
      </c>
      <c r="C99" s="255" t="s">
        <v>295</v>
      </c>
      <c r="D99" s="254">
        <v>10</v>
      </c>
      <c r="E99" s="256">
        <v>65183.75</v>
      </c>
      <c r="F99" s="256">
        <v>0</v>
      </c>
      <c r="G99" s="256">
        <v>15353.63</v>
      </c>
      <c r="H99" s="256">
        <v>0</v>
      </c>
      <c r="I99" s="256">
        <v>0</v>
      </c>
      <c r="J99" s="256">
        <v>12128.27</v>
      </c>
      <c r="K99" s="250">
        <f t="shared" si="5"/>
        <v>92665.650000000009</v>
      </c>
      <c r="L99" s="251">
        <v>249</v>
      </c>
      <c r="M99" s="252">
        <f t="shared" si="6"/>
        <v>372.15120481927715</v>
      </c>
      <c r="N99" s="253">
        <f t="shared" si="7"/>
        <v>6.9335250123778058E-2</v>
      </c>
    </row>
    <row r="100" spans="1:14" x14ac:dyDescent="0.25">
      <c r="A100" s="254">
        <v>2018</v>
      </c>
      <c r="B100" s="254">
        <v>17003</v>
      </c>
      <c r="C100" s="255" t="s">
        <v>296</v>
      </c>
      <c r="D100" s="254">
        <v>10</v>
      </c>
      <c r="E100" s="256">
        <v>53819.44</v>
      </c>
      <c r="F100" s="256">
        <v>0</v>
      </c>
      <c r="G100" s="256">
        <v>16174.01</v>
      </c>
      <c r="H100" s="256">
        <v>0</v>
      </c>
      <c r="I100" s="256">
        <v>0</v>
      </c>
      <c r="J100" s="256">
        <v>14027.35</v>
      </c>
      <c r="K100" s="250">
        <f t="shared" ref="K100:K131" si="8">SUM(E100:J100)</f>
        <v>84020.800000000003</v>
      </c>
      <c r="L100" s="251">
        <v>215</v>
      </c>
      <c r="M100" s="252">
        <f t="shared" ref="M100:M131" si="9">K100/L100</f>
        <v>390.79441860465118</v>
      </c>
      <c r="N100" s="253">
        <f t="shared" si="7"/>
        <v>0.12290445913917059</v>
      </c>
    </row>
    <row r="101" spans="1:14" x14ac:dyDescent="0.25">
      <c r="A101" s="254">
        <v>2018</v>
      </c>
      <c r="B101" s="254">
        <v>51003</v>
      </c>
      <c r="C101" s="255" t="s">
        <v>297</v>
      </c>
      <c r="D101" s="254">
        <v>10</v>
      </c>
      <c r="E101" s="256">
        <v>48632.22</v>
      </c>
      <c r="F101" s="256">
        <v>0</v>
      </c>
      <c r="G101" s="256">
        <v>9006.6299999999992</v>
      </c>
      <c r="H101" s="256">
        <v>1032.6199999999999</v>
      </c>
      <c r="I101" s="256">
        <v>0</v>
      </c>
      <c r="J101" s="256">
        <v>10558.21</v>
      </c>
      <c r="K101" s="250">
        <f t="shared" si="8"/>
        <v>69229.679999999993</v>
      </c>
      <c r="L101" s="251">
        <v>237</v>
      </c>
      <c r="M101" s="252">
        <f t="shared" si="9"/>
        <v>292.10835443037973</v>
      </c>
      <c r="N101" s="253">
        <f t="shared" si="7"/>
        <v>-0.16065901116793802</v>
      </c>
    </row>
    <row r="102" spans="1:14" x14ac:dyDescent="0.25">
      <c r="A102" s="254">
        <v>2018</v>
      </c>
      <c r="B102" s="254">
        <v>9002</v>
      </c>
      <c r="C102" s="255" t="s">
        <v>298</v>
      </c>
      <c r="D102" s="254">
        <v>10</v>
      </c>
      <c r="E102" s="256">
        <v>104109.23</v>
      </c>
      <c r="F102" s="256">
        <v>0</v>
      </c>
      <c r="G102" s="256">
        <v>33181.72</v>
      </c>
      <c r="H102" s="256">
        <v>0</v>
      </c>
      <c r="I102" s="256">
        <v>0</v>
      </c>
      <c r="J102" s="256">
        <v>26204.17</v>
      </c>
      <c r="K102" s="250">
        <f t="shared" si="8"/>
        <v>163495.12</v>
      </c>
      <c r="L102" s="251">
        <v>292</v>
      </c>
      <c r="M102" s="252">
        <f t="shared" si="9"/>
        <v>559.91479452054796</v>
      </c>
      <c r="N102" s="253">
        <f t="shared" si="7"/>
        <v>0.60885311962751931</v>
      </c>
    </row>
    <row r="103" spans="1:14" x14ac:dyDescent="0.25">
      <c r="A103" s="254">
        <v>2018</v>
      </c>
      <c r="B103" s="254">
        <v>56007</v>
      </c>
      <c r="C103" s="255" t="s">
        <v>299</v>
      </c>
      <c r="D103" s="254">
        <v>10</v>
      </c>
      <c r="E103" s="256">
        <v>96582.32</v>
      </c>
      <c r="F103" s="256">
        <v>0</v>
      </c>
      <c r="G103" s="256">
        <v>10676.34</v>
      </c>
      <c r="H103" s="256">
        <v>1619.63</v>
      </c>
      <c r="I103" s="256">
        <v>0</v>
      </c>
      <c r="J103" s="256">
        <v>16949.71</v>
      </c>
      <c r="K103" s="250">
        <f t="shared" si="8"/>
        <v>125828</v>
      </c>
      <c r="L103" s="251">
        <v>254</v>
      </c>
      <c r="M103" s="252">
        <f t="shared" si="9"/>
        <v>495.38582677165357</v>
      </c>
      <c r="N103" s="253">
        <f t="shared" si="7"/>
        <v>0.42343628105648135</v>
      </c>
    </row>
    <row r="104" spans="1:14" x14ac:dyDescent="0.25">
      <c r="A104" s="254">
        <v>2018</v>
      </c>
      <c r="B104" s="254">
        <v>23003</v>
      </c>
      <c r="C104" s="255" t="s">
        <v>300</v>
      </c>
      <c r="D104" s="254">
        <v>10</v>
      </c>
      <c r="E104" s="256">
        <v>18017.68</v>
      </c>
      <c r="F104" s="256">
        <v>0</v>
      </c>
      <c r="G104" s="256">
        <v>2411.08</v>
      </c>
      <c r="H104" s="256">
        <v>0</v>
      </c>
      <c r="I104" s="256">
        <v>0</v>
      </c>
      <c r="J104" s="256">
        <v>1403.89</v>
      </c>
      <c r="K104" s="250">
        <f t="shared" si="8"/>
        <v>21832.65</v>
      </c>
      <c r="L104" s="251">
        <v>134</v>
      </c>
      <c r="M104" s="252">
        <f t="shared" si="9"/>
        <v>162.93022388059703</v>
      </c>
      <c r="N104" s="253">
        <f t="shared" si="7"/>
        <v>-0.53183805547347629</v>
      </c>
    </row>
    <row r="105" spans="1:14" x14ac:dyDescent="0.25">
      <c r="A105" s="254">
        <v>2018</v>
      </c>
      <c r="B105" s="254">
        <v>65001</v>
      </c>
      <c r="C105" s="255" t="s">
        <v>301</v>
      </c>
      <c r="D105" s="254">
        <v>10</v>
      </c>
      <c r="E105" s="256">
        <v>397173.95</v>
      </c>
      <c r="F105" s="256">
        <v>0</v>
      </c>
      <c r="G105" s="256">
        <v>457.47</v>
      </c>
      <c r="H105" s="256">
        <v>0</v>
      </c>
      <c r="I105" s="256">
        <v>0</v>
      </c>
      <c r="J105" s="256">
        <v>76.11</v>
      </c>
      <c r="K105" s="250">
        <f t="shared" si="8"/>
        <v>397707.52999999997</v>
      </c>
      <c r="L105" s="251">
        <v>1371.56</v>
      </c>
      <c r="M105" s="252">
        <f t="shared" si="9"/>
        <v>289.96728542681325</v>
      </c>
      <c r="N105" s="253">
        <f t="shared" si="7"/>
        <v>-0.16681113570444961</v>
      </c>
    </row>
    <row r="106" spans="1:14" x14ac:dyDescent="0.25">
      <c r="A106" s="254">
        <v>2018</v>
      </c>
      <c r="B106" s="254">
        <v>39005</v>
      </c>
      <c r="C106" s="255" t="s">
        <v>302</v>
      </c>
      <c r="D106" s="254">
        <v>10</v>
      </c>
      <c r="E106" s="256">
        <v>41608.29</v>
      </c>
      <c r="F106" s="256">
        <v>0</v>
      </c>
      <c r="G106" s="256">
        <v>8556.7099999999991</v>
      </c>
      <c r="H106" s="256">
        <v>1758.31</v>
      </c>
      <c r="I106" s="256">
        <v>0</v>
      </c>
      <c r="J106" s="256">
        <v>13166.73</v>
      </c>
      <c r="K106" s="250">
        <f t="shared" si="8"/>
        <v>65090.039999999994</v>
      </c>
      <c r="L106" s="251">
        <v>153</v>
      </c>
      <c r="M106" s="252">
        <f t="shared" si="9"/>
        <v>425.42509803921564</v>
      </c>
      <c r="N106" s="253">
        <f t="shared" si="7"/>
        <v>0.22241187917587202</v>
      </c>
    </row>
    <row r="107" spans="1:14" x14ac:dyDescent="0.25">
      <c r="A107" s="254">
        <v>2018</v>
      </c>
      <c r="B107" s="254">
        <v>60004</v>
      </c>
      <c r="C107" s="255" t="s">
        <v>303</v>
      </c>
      <c r="D107" s="254">
        <v>10</v>
      </c>
      <c r="E107" s="256">
        <v>68088.87</v>
      </c>
      <c r="F107" s="256">
        <v>0</v>
      </c>
      <c r="G107" s="256">
        <v>22130.6</v>
      </c>
      <c r="H107" s="256">
        <v>997.44</v>
      </c>
      <c r="I107" s="256">
        <v>0</v>
      </c>
      <c r="J107" s="256">
        <v>21551.38</v>
      </c>
      <c r="K107" s="250">
        <f t="shared" si="8"/>
        <v>112768.29000000001</v>
      </c>
      <c r="L107" s="251">
        <v>442</v>
      </c>
      <c r="M107" s="252">
        <f t="shared" si="9"/>
        <v>255.13187782805431</v>
      </c>
      <c r="N107" s="253">
        <f t="shared" si="7"/>
        <v>-0.26690681943566907</v>
      </c>
    </row>
    <row r="108" spans="1:14" x14ac:dyDescent="0.25">
      <c r="A108" s="254">
        <v>2018</v>
      </c>
      <c r="B108" s="254">
        <v>33003</v>
      </c>
      <c r="C108" s="255" t="s">
        <v>304</v>
      </c>
      <c r="D108" s="254">
        <v>10</v>
      </c>
      <c r="E108" s="256">
        <v>139168.95000000001</v>
      </c>
      <c r="F108" s="256">
        <v>0</v>
      </c>
      <c r="G108" s="256">
        <v>17189.259999999998</v>
      </c>
      <c r="H108" s="256">
        <v>2766.01</v>
      </c>
      <c r="I108" s="256">
        <v>0</v>
      </c>
      <c r="J108" s="256">
        <v>27668.12</v>
      </c>
      <c r="K108" s="250">
        <f t="shared" si="8"/>
        <v>186792.34000000003</v>
      </c>
      <c r="L108" s="251">
        <v>521.03</v>
      </c>
      <c r="M108" s="252">
        <f t="shared" si="9"/>
        <v>358.50592096424396</v>
      </c>
      <c r="N108" s="253">
        <f t="shared" si="7"/>
        <v>3.0127038958056573E-2</v>
      </c>
    </row>
    <row r="109" spans="1:14" x14ac:dyDescent="0.25">
      <c r="A109" s="254">
        <v>2018</v>
      </c>
      <c r="B109" s="254">
        <v>32002</v>
      </c>
      <c r="C109" s="255" t="s">
        <v>305</v>
      </c>
      <c r="D109" s="254">
        <v>10</v>
      </c>
      <c r="E109" s="256">
        <v>384527.65</v>
      </c>
      <c r="F109" s="256">
        <v>0</v>
      </c>
      <c r="G109" s="256">
        <v>172782.55</v>
      </c>
      <c r="H109" s="256">
        <v>0</v>
      </c>
      <c r="I109" s="256">
        <v>0</v>
      </c>
      <c r="J109" s="256">
        <v>491466.03</v>
      </c>
      <c r="K109" s="250">
        <f t="shared" si="8"/>
        <v>1048776.23</v>
      </c>
      <c r="L109" s="251">
        <v>2716.42</v>
      </c>
      <c r="M109" s="252">
        <f t="shared" si="9"/>
        <v>386.08765581169331</v>
      </c>
      <c r="N109" s="253">
        <f t="shared" si="7"/>
        <v>0.10938009779543911</v>
      </c>
    </row>
    <row r="110" spans="1:14" x14ac:dyDescent="0.25">
      <c r="A110" s="254">
        <v>2018</v>
      </c>
      <c r="B110" s="254">
        <v>1001</v>
      </c>
      <c r="C110" s="255" t="s">
        <v>306</v>
      </c>
      <c r="D110" s="254">
        <v>10</v>
      </c>
      <c r="E110" s="256">
        <v>87672.05</v>
      </c>
      <c r="F110" s="256">
        <v>0</v>
      </c>
      <c r="G110" s="256">
        <v>30597.759999999998</v>
      </c>
      <c r="H110" s="256">
        <v>0</v>
      </c>
      <c r="I110" s="256">
        <v>0</v>
      </c>
      <c r="J110" s="256">
        <v>29018.99</v>
      </c>
      <c r="K110" s="250">
        <f t="shared" si="8"/>
        <v>147288.79999999999</v>
      </c>
      <c r="L110" s="251">
        <v>299</v>
      </c>
      <c r="M110" s="252">
        <f t="shared" si="9"/>
        <v>492.60468227424747</v>
      </c>
      <c r="N110" s="253">
        <f t="shared" si="7"/>
        <v>0.41544497051320817</v>
      </c>
    </row>
    <row r="111" spans="1:14" x14ac:dyDescent="0.25">
      <c r="A111" s="254">
        <v>2018</v>
      </c>
      <c r="B111" s="254">
        <v>11005</v>
      </c>
      <c r="C111" s="255" t="s">
        <v>307</v>
      </c>
      <c r="D111" s="254">
        <v>10</v>
      </c>
      <c r="E111" s="256">
        <v>193751.85</v>
      </c>
      <c r="F111" s="256">
        <v>0</v>
      </c>
      <c r="G111" s="256">
        <v>21153.94</v>
      </c>
      <c r="H111" s="256">
        <v>0</v>
      </c>
      <c r="I111" s="256">
        <v>0</v>
      </c>
      <c r="J111" s="256">
        <v>49123.28</v>
      </c>
      <c r="K111" s="250">
        <f t="shared" si="8"/>
        <v>264029.07</v>
      </c>
      <c r="L111" s="251">
        <v>503.4</v>
      </c>
      <c r="M111" s="252">
        <f t="shared" si="9"/>
        <v>524.49159713945176</v>
      </c>
      <c r="N111" s="253">
        <f t="shared" si="7"/>
        <v>0.50706848708792207</v>
      </c>
    </row>
    <row r="112" spans="1:14" x14ac:dyDescent="0.25">
      <c r="A112" s="254">
        <v>2018</v>
      </c>
      <c r="B112" s="254">
        <v>51004</v>
      </c>
      <c r="C112" s="255" t="s">
        <v>308</v>
      </c>
      <c r="D112" s="254">
        <v>10</v>
      </c>
      <c r="E112" s="256">
        <v>1176849.19</v>
      </c>
      <c r="F112" s="256">
        <v>0</v>
      </c>
      <c r="G112" s="256">
        <v>819923.21</v>
      </c>
      <c r="H112" s="256">
        <v>198044.66</v>
      </c>
      <c r="I112" s="256">
        <v>0</v>
      </c>
      <c r="J112" s="256">
        <v>824927.91</v>
      </c>
      <c r="K112" s="250">
        <f t="shared" si="8"/>
        <v>3019744.97</v>
      </c>
      <c r="L112" s="251">
        <v>13628.25</v>
      </c>
      <c r="M112" s="252">
        <f t="shared" si="9"/>
        <v>221.57980445031461</v>
      </c>
      <c r="N112" s="253">
        <f t="shared" si="7"/>
        <v>-0.36331498448508714</v>
      </c>
    </row>
    <row r="113" spans="1:14" x14ac:dyDescent="0.25">
      <c r="A113" s="254">
        <v>2018</v>
      </c>
      <c r="B113" s="254">
        <v>56004</v>
      </c>
      <c r="C113" s="255" t="s">
        <v>309</v>
      </c>
      <c r="D113" s="254">
        <v>10</v>
      </c>
      <c r="E113" s="256">
        <v>81404.61</v>
      </c>
      <c r="F113" s="256">
        <v>0</v>
      </c>
      <c r="G113" s="256">
        <v>21495.49</v>
      </c>
      <c r="H113" s="256">
        <v>678.85</v>
      </c>
      <c r="I113" s="256">
        <v>0</v>
      </c>
      <c r="J113" s="256">
        <v>31518.87</v>
      </c>
      <c r="K113" s="250">
        <f t="shared" si="8"/>
        <v>135097.82</v>
      </c>
      <c r="L113" s="251">
        <v>592.05999999999995</v>
      </c>
      <c r="M113" s="252">
        <f t="shared" si="9"/>
        <v>228.18265040705336</v>
      </c>
      <c r="N113" s="253">
        <f t="shared" si="7"/>
        <v>-0.34434243826934463</v>
      </c>
    </row>
    <row r="114" spans="1:14" x14ac:dyDescent="0.25">
      <c r="A114" s="254">
        <v>2018</v>
      </c>
      <c r="B114" s="254">
        <v>54004</v>
      </c>
      <c r="C114" s="255" t="s">
        <v>310</v>
      </c>
      <c r="D114" s="254">
        <v>10</v>
      </c>
      <c r="E114" s="256">
        <v>49898.5</v>
      </c>
      <c r="F114" s="256">
        <v>0</v>
      </c>
      <c r="G114" s="256">
        <v>21219.96</v>
      </c>
      <c r="H114" s="256">
        <v>0</v>
      </c>
      <c r="I114" s="256">
        <v>0</v>
      </c>
      <c r="J114" s="256">
        <v>20075.13</v>
      </c>
      <c r="K114" s="250">
        <f t="shared" si="8"/>
        <v>91193.59</v>
      </c>
      <c r="L114" s="251">
        <v>244</v>
      </c>
      <c r="M114" s="252">
        <f t="shared" si="9"/>
        <v>373.74422131147537</v>
      </c>
      <c r="N114" s="253">
        <f t="shared" si="7"/>
        <v>7.3912606496877142E-2</v>
      </c>
    </row>
    <row r="115" spans="1:14" x14ac:dyDescent="0.25">
      <c r="A115" s="254">
        <v>2018</v>
      </c>
      <c r="B115" s="254">
        <v>39004</v>
      </c>
      <c r="C115" s="255" t="s">
        <v>311</v>
      </c>
      <c r="D115" s="254">
        <v>10</v>
      </c>
      <c r="E115" s="256">
        <v>29990.19</v>
      </c>
      <c r="F115" s="256">
        <v>0</v>
      </c>
      <c r="G115" s="256">
        <v>8192.2000000000007</v>
      </c>
      <c r="H115" s="256">
        <v>0</v>
      </c>
      <c r="I115" s="256">
        <v>0</v>
      </c>
      <c r="J115" s="256">
        <v>11783.28</v>
      </c>
      <c r="K115" s="250">
        <f t="shared" si="8"/>
        <v>49965.67</v>
      </c>
      <c r="L115" s="251">
        <v>176</v>
      </c>
      <c r="M115" s="252">
        <f t="shared" si="9"/>
        <v>283.89585227272727</v>
      </c>
      <c r="N115" s="253">
        <f t="shared" si="7"/>
        <v>-0.18425672611597921</v>
      </c>
    </row>
    <row r="116" spans="1:14" x14ac:dyDescent="0.25">
      <c r="A116" s="254">
        <v>2018</v>
      </c>
      <c r="B116" s="254">
        <v>55005</v>
      </c>
      <c r="C116" s="255" t="s">
        <v>312</v>
      </c>
      <c r="D116" s="254">
        <v>10</v>
      </c>
      <c r="E116" s="256">
        <v>64167.49</v>
      </c>
      <c r="F116" s="256">
        <v>0</v>
      </c>
      <c r="G116" s="256">
        <v>15561.18</v>
      </c>
      <c r="H116" s="256">
        <v>359.02</v>
      </c>
      <c r="I116" s="256">
        <v>0</v>
      </c>
      <c r="J116" s="256">
        <v>5679.37</v>
      </c>
      <c r="K116" s="250">
        <f t="shared" si="8"/>
        <v>85767.06</v>
      </c>
      <c r="L116" s="251">
        <v>180</v>
      </c>
      <c r="M116" s="252">
        <f t="shared" si="9"/>
        <v>476.48366666666664</v>
      </c>
      <c r="N116" s="253">
        <f t="shared" si="7"/>
        <v>0.36912301848472229</v>
      </c>
    </row>
    <row r="117" spans="1:14" x14ac:dyDescent="0.25">
      <c r="A117" s="254">
        <v>2018</v>
      </c>
      <c r="B117" s="254">
        <v>4003</v>
      </c>
      <c r="C117" s="255" t="s">
        <v>313</v>
      </c>
      <c r="D117" s="254">
        <v>10</v>
      </c>
      <c r="E117" s="256">
        <v>75563.97</v>
      </c>
      <c r="F117" s="256">
        <v>0</v>
      </c>
      <c r="G117" s="256">
        <v>10341.36</v>
      </c>
      <c r="H117" s="256">
        <v>0</v>
      </c>
      <c r="I117" s="256">
        <v>0</v>
      </c>
      <c r="J117" s="256">
        <v>31245.14</v>
      </c>
      <c r="K117" s="250">
        <f t="shared" si="8"/>
        <v>117150.47</v>
      </c>
      <c r="L117" s="251">
        <v>266</v>
      </c>
      <c r="M117" s="252">
        <f t="shared" si="9"/>
        <v>440.41530075187973</v>
      </c>
      <c r="N117" s="253">
        <f t="shared" si="7"/>
        <v>0.2654845656526954</v>
      </c>
    </row>
    <row r="118" spans="1:14" x14ac:dyDescent="0.25">
      <c r="A118" s="254">
        <v>2018</v>
      </c>
      <c r="B118" s="254">
        <v>62005</v>
      </c>
      <c r="C118" s="255" t="s">
        <v>314</v>
      </c>
      <c r="D118" s="254">
        <v>10</v>
      </c>
      <c r="E118" s="256">
        <v>101618.82</v>
      </c>
      <c r="F118" s="256">
        <v>0</v>
      </c>
      <c r="G118" s="256">
        <v>72577.649999999994</v>
      </c>
      <c r="H118" s="256">
        <v>0</v>
      </c>
      <c r="I118" s="256">
        <v>0</v>
      </c>
      <c r="J118" s="256">
        <v>37651.47</v>
      </c>
      <c r="K118" s="250">
        <f t="shared" si="8"/>
        <v>211847.94</v>
      </c>
      <c r="L118" s="251">
        <v>184</v>
      </c>
      <c r="M118" s="252">
        <f t="shared" si="9"/>
        <v>1151.3475000000001</v>
      </c>
      <c r="N118" s="253">
        <f t="shared" si="7"/>
        <v>2.3082694639931809</v>
      </c>
    </row>
    <row r="119" spans="1:14" x14ac:dyDescent="0.25">
      <c r="A119" s="254">
        <v>2018</v>
      </c>
      <c r="B119" s="254">
        <v>49005</v>
      </c>
      <c r="C119" s="255" t="s">
        <v>315</v>
      </c>
      <c r="D119" s="254">
        <v>10</v>
      </c>
      <c r="E119" s="256">
        <v>1794090.75</v>
      </c>
      <c r="F119" s="256">
        <v>0</v>
      </c>
      <c r="G119" s="256">
        <v>977353.6</v>
      </c>
      <c r="H119" s="256">
        <v>0</v>
      </c>
      <c r="I119" s="256">
        <v>0</v>
      </c>
      <c r="J119" s="256">
        <v>3136954.41</v>
      </c>
      <c r="K119" s="250">
        <f t="shared" si="8"/>
        <v>5908398.7599999998</v>
      </c>
      <c r="L119" s="251">
        <v>23924.25</v>
      </c>
      <c r="M119" s="252">
        <f t="shared" si="9"/>
        <v>246.96275787119762</v>
      </c>
      <c r="N119" s="253">
        <f t="shared" si="7"/>
        <v>-0.2903798804367711</v>
      </c>
    </row>
    <row r="120" spans="1:14" x14ac:dyDescent="0.25">
      <c r="A120" s="254">
        <v>2018</v>
      </c>
      <c r="B120" s="254">
        <v>5005</v>
      </c>
      <c r="C120" s="255" t="s">
        <v>316</v>
      </c>
      <c r="D120" s="254">
        <v>10</v>
      </c>
      <c r="E120" s="256">
        <v>94580.79</v>
      </c>
      <c r="F120" s="256">
        <v>0</v>
      </c>
      <c r="G120" s="256">
        <v>68768.509999999995</v>
      </c>
      <c r="H120" s="256">
        <v>0</v>
      </c>
      <c r="I120" s="256">
        <v>0</v>
      </c>
      <c r="J120" s="256">
        <v>43228.34</v>
      </c>
      <c r="K120" s="250">
        <f t="shared" si="8"/>
        <v>206577.63999999998</v>
      </c>
      <c r="L120" s="251">
        <v>659.05</v>
      </c>
      <c r="M120" s="252">
        <f t="shared" si="9"/>
        <v>313.44759881647826</v>
      </c>
      <c r="N120" s="253">
        <f t="shared" si="7"/>
        <v>-9.9343056960179199E-2</v>
      </c>
    </row>
    <row r="121" spans="1:14" x14ac:dyDescent="0.25">
      <c r="A121" s="254">
        <v>2018</v>
      </c>
      <c r="B121" s="254">
        <v>54002</v>
      </c>
      <c r="C121" s="255" t="s">
        <v>317</v>
      </c>
      <c r="D121" s="254">
        <v>10</v>
      </c>
      <c r="E121" s="256">
        <v>422042.59</v>
      </c>
      <c r="F121" s="256">
        <v>0</v>
      </c>
      <c r="G121" s="256">
        <v>205577.35</v>
      </c>
      <c r="H121" s="256">
        <v>0</v>
      </c>
      <c r="I121" s="256">
        <v>0</v>
      </c>
      <c r="J121" s="256">
        <v>50897.59</v>
      </c>
      <c r="K121" s="250">
        <f t="shared" si="8"/>
        <v>678517.53</v>
      </c>
      <c r="L121" s="251">
        <v>885</v>
      </c>
      <c r="M121" s="252">
        <f t="shared" si="9"/>
        <v>766.68647457627117</v>
      </c>
      <c r="N121" s="253">
        <f t="shared" si="7"/>
        <v>1.202988630537055</v>
      </c>
    </row>
    <row r="122" spans="1:14" x14ac:dyDescent="0.25">
      <c r="A122" s="254">
        <v>2018</v>
      </c>
      <c r="B122" s="254">
        <v>15003</v>
      </c>
      <c r="C122" s="255" t="s">
        <v>318</v>
      </c>
      <c r="D122" s="254">
        <v>10</v>
      </c>
      <c r="E122" s="256">
        <v>24592.7</v>
      </c>
      <c r="F122" s="256">
        <v>0</v>
      </c>
      <c r="G122" s="256">
        <v>4681.6099999999997</v>
      </c>
      <c r="H122" s="256">
        <v>0</v>
      </c>
      <c r="I122" s="256">
        <v>0</v>
      </c>
      <c r="J122" s="256">
        <v>1057.73</v>
      </c>
      <c r="K122" s="250">
        <f t="shared" si="8"/>
        <v>30332.04</v>
      </c>
      <c r="L122" s="251">
        <v>197</v>
      </c>
      <c r="M122" s="252">
        <f t="shared" si="9"/>
        <v>153.96974619289341</v>
      </c>
      <c r="N122" s="253">
        <f t="shared" si="7"/>
        <v>-0.55758499522626348</v>
      </c>
    </row>
    <row r="123" spans="1:14" x14ac:dyDescent="0.25">
      <c r="A123" s="254">
        <v>2018</v>
      </c>
      <c r="B123" s="254">
        <v>26005</v>
      </c>
      <c r="C123" s="255" t="s">
        <v>319</v>
      </c>
      <c r="D123" s="254">
        <v>10</v>
      </c>
      <c r="E123" s="256">
        <v>46426.81</v>
      </c>
      <c r="F123" s="256">
        <v>0</v>
      </c>
      <c r="G123" s="256">
        <v>3517.63</v>
      </c>
      <c r="H123" s="256">
        <v>306.43</v>
      </c>
      <c r="I123" s="256">
        <v>0</v>
      </c>
      <c r="J123" s="256">
        <v>10555.95</v>
      </c>
      <c r="K123" s="250">
        <f t="shared" si="8"/>
        <v>60806.819999999992</v>
      </c>
      <c r="L123" s="251">
        <v>98</v>
      </c>
      <c r="M123" s="252">
        <f t="shared" si="9"/>
        <v>620.47775510204076</v>
      </c>
      <c r="N123" s="253">
        <f t="shared" si="7"/>
        <v>0.78287407606402115</v>
      </c>
    </row>
    <row r="124" spans="1:14" x14ac:dyDescent="0.25">
      <c r="A124" s="254">
        <v>2018</v>
      </c>
      <c r="B124" s="254">
        <v>40002</v>
      </c>
      <c r="C124" s="255" t="s">
        <v>320</v>
      </c>
      <c r="D124" s="254">
        <v>10</v>
      </c>
      <c r="E124" s="256">
        <v>187198.9</v>
      </c>
      <c r="F124" s="256">
        <v>0</v>
      </c>
      <c r="G124" s="256">
        <v>300465.96000000002</v>
      </c>
      <c r="H124" s="256">
        <v>0</v>
      </c>
      <c r="I124" s="256">
        <v>0</v>
      </c>
      <c r="J124" s="256">
        <v>109872.96000000001</v>
      </c>
      <c r="K124" s="250">
        <f t="shared" si="8"/>
        <v>597537.81999999995</v>
      </c>
      <c r="L124" s="251">
        <v>2398.14</v>
      </c>
      <c r="M124" s="252">
        <f t="shared" si="9"/>
        <v>249.16719624375557</v>
      </c>
      <c r="N124" s="253">
        <f t="shared" si="7"/>
        <v>-0.28404567104022638</v>
      </c>
    </row>
    <row r="125" spans="1:14" x14ac:dyDescent="0.25">
      <c r="A125" s="254">
        <v>2018</v>
      </c>
      <c r="B125" s="254">
        <v>57001</v>
      </c>
      <c r="C125" s="255" t="s">
        <v>321</v>
      </c>
      <c r="D125" s="254">
        <v>10</v>
      </c>
      <c r="E125" s="256">
        <v>43742.93</v>
      </c>
      <c r="F125" s="256">
        <v>0</v>
      </c>
      <c r="G125" s="256">
        <v>53295.71</v>
      </c>
      <c r="H125" s="256">
        <v>0</v>
      </c>
      <c r="I125" s="256">
        <v>0</v>
      </c>
      <c r="J125" s="256">
        <v>50253.94</v>
      </c>
      <c r="K125" s="250">
        <f t="shared" si="8"/>
        <v>147292.58000000002</v>
      </c>
      <c r="L125" s="251">
        <v>449</v>
      </c>
      <c r="M125" s="252">
        <f t="shared" si="9"/>
        <v>328.04583518930963</v>
      </c>
      <c r="N125" s="253">
        <f t="shared" si="7"/>
        <v>-5.7396642328286895E-2</v>
      </c>
    </row>
    <row r="126" spans="1:14" x14ac:dyDescent="0.25">
      <c r="A126" s="254">
        <v>2018</v>
      </c>
      <c r="B126" s="254">
        <v>54006</v>
      </c>
      <c r="C126" s="255" t="s">
        <v>322</v>
      </c>
      <c r="D126" s="254">
        <v>10</v>
      </c>
      <c r="E126" s="256">
        <v>43752.95</v>
      </c>
      <c r="F126" s="256">
        <v>0</v>
      </c>
      <c r="G126" s="256">
        <v>14781.45</v>
      </c>
      <c r="H126" s="256">
        <v>1120.19</v>
      </c>
      <c r="I126" s="256">
        <v>0</v>
      </c>
      <c r="J126" s="256">
        <v>15787.62</v>
      </c>
      <c r="K126" s="250">
        <f t="shared" si="8"/>
        <v>75442.209999999992</v>
      </c>
      <c r="L126" s="251">
        <v>150</v>
      </c>
      <c r="M126" s="252">
        <f t="shared" si="9"/>
        <v>502.94806666666659</v>
      </c>
      <c r="N126" s="253">
        <f t="shared" si="7"/>
        <v>0.44516553944637893</v>
      </c>
    </row>
    <row r="127" spans="1:14" x14ac:dyDescent="0.25">
      <c r="A127" s="254">
        <v>2018</v>
      </c>
      <c r="B127" s="254">
        <v>41005</v>
      </c>
      <c r="C127" s="255" t="s">
        <v>323</v>
      </c>
      <c r="D127" s="254">
        <v>10</v>
      </c>
      <c r="E127" s="256">
        <v>102612.75</v>
      </c>
      <c r="F127" s="256">
        <v>0</v>
      </c>
      <c r="G127" s="256">
        <v>55484.07</v>
      </c>
      <c r="H127" s="256">
        <v>0</v>
      </c>
      <c r="I127" s="256">
        <v>0</v>
      </c>
      <c r="J127" s="256">
        <v>92723.49</v>
      </c>
      <c r="K127" s="250">
        <f t="shared" si="8"/>
        <v>250820.31</v>
      </c>
      <c r="L127" s="251">
        <v>1791.25</v>
      </c>
      <c r="M127" s="252">
        <f t="shared" si="9"/>
        <v>140.02529518492673</v>
      </c>
      <c r="N127" s="253">
        <f t="shared" si="7"/>
        <v>-0.59765283005615211</v>
      </c>
    </row>
    <row r="128" spans="1:14" x14ac:dyDescent="0.25">
      <c r="A128" s="254">
        <v>2018</v>
      </c>
      <c r="B128" s="254">
        <v>20003</v>
      </c>
      <c r="C128" s="255" t="s">
        <v>324</v>
      </c>
      <c r="D128" s="254">
        <v>10</v>
      </c>
      <c r="E128" s="256">
        <v>48738.2</v>
      </c>
      <c r="F128" s="256">
        <v>0</v>
      </c>
      <c r="G128" s="256">
        <v>1552.8</v>
      </c>
      <c r="H128" s="256">
        <v>0</v>
      </c>
      <c r="I128" s="256">
        <v>0</v>
      </c>
      <c r="J128" s="256">
        <v>7698.24</v>
      </c>
      <c r="K128" s="250">
        <f t="shared" si="8"/>
        <v>57989.24</v>
      </c>
      <c r="L128" s="251">
        <v>352.29</v>
      </c>
      <c r="M128" s="252">
        <f t="shared" si="9"/>
        <v>164.60654574356352</v>
      </c>
      <c r="N128" s="253">
        <f t="shared" si="7"/>
        <v>-0.52702133034828513</v>
      </c>
    </row>
    <row r="129" spans="1:14" x14ac:dyDescent="0.25">
      <c r="A129" s="254">
        <v>2018</v>
      </c>
      <c r="B129" s="254">
        <v>66001</v>
      </c>
      <c r="C129" s="255" t="s">
        <v>325</v>
      </c>
      <c r="D129" s="254">
        <v>10</v>
      </c>
      <c r="E129" s="256">
        <v>402013.06</v>
      </c>
      <c r="F129" s="256">
        <v>0</v>
      </c>
      <c r="G129" s="256">
        <v>5031</v>
      </c>
      <c r="H129" s="256">
        <v>0</v>
      </c>
      <c r="I129" s="256">
        <v>0</v>
      </c>
      <c r="J129" s="256">
        <v>5474.24</v>
      </c>
      <c r="K129" s="250">
        <f t="shared" si="8"/>
        <v>412518.3</v>
      </c>
      <c r="L129" s="251">
        <v>2060.3000000000002</v>
      </c>
      <c r="M129" s="252">
        <f t="shared" si="9"/>
        <v>200.22244333349511</v>
      </c>
      <c r="N129" s="253">
        <f t="shared" si="7"/>
        <v>-0.42468299511111385</v>
      </c>
    </row>
    <row r="130" spans="1:14" x14ac:dyDescent="0.25">
      <c r="A130" s="254">
        <v>2018</v>
      </c>
      <c r="B130" s="254">
        <v>33005</v>
      </c>
      <c r="C130" s="255" t="s">
        <v>326</v>
      </c>
      <c r="D130" s="254">
        <v>10</v>
      </c>
      <c r="E130" s="256">
        <v>80411.850000000006</v>
      </c>
      <c r="F130" s="256">
        <v>0</v>
      </c>
      <c r="G130" s="256">
        <v>7100.16</v>
      </c>
      <c r="H130" s="256">
        <v>1456.93</v>
      </c>
      <c r="I130" s="256">
        <v>127203.17</v>
      </c>
      <c r="J130" s="256">
        <v>22215.22</v>
      </c>
      <c r="K130" s="250">
        <f t="shared" si="8"/>
        <v>238387.33</v>
      </c>
      <c r="L130" s="251">
        <v>151</v>
      </c>
      <c r="M130" s="252">
        <f t="shared" si="9"/>
        <v>1578.7240397350993</v>
      </c>
      <c r="N130" s="253">
        <f t="shared" si="7"/>
        <v>3.5362885946489531</v>
      </c>
    </row>
    <row r="131" spans="1:14" x14ac:dyDescent="0.25">
      <c r="A131" s="254">
        <v>2018</v>
      </c>
      <c r="B131" s="254">
        <v>49006</v>
      </c>
      <c r="C131" s="255" t="s">
        <v>327</v>
      </c>
      <c r="D131" s="254">
        <v>10</v>
      </c>
      <c r="E131" s="256">
        <v>324380.86</v>
      </c>
      <c r="F131" s="256">
        <v>0</v>
      </c>
      <c r="G131" s="256">
        <v>38145.49</v>
      </c>
      <c r="H131" s="256">
        <v>0</v>
      </c>
      <c r="I131" s="256">
        <v>0</v>
      </c>
      <c r="J131" s="256">
        <v>144035.78</v>
      </c>
      <c r="K131" s="250">
        <f t="shared" si="8"/>
        <v>506562.13</v>
      </c>
      <c r="L131" s="251">
        <v>921</v>
      </c>
      <c r="M131" s="252">
        <f t="shared" si="9"/>
        <v>550.01317046688382</v>
      </c>
      <c r="N131" s="253">
        <f t="shared" si="7"/>
        <v>0.58040190007766346</v>
      </c>
    </row>
    <row r="132" spans="1:14" x14ac:dyDescent="0.25">
      <c r="A132" s="254">
        <v>2018</v>
      </c>
      <c r="B132" s="254">
        <v>13001</v>
      </c>
      <c r="C132" s="255" t="s">
        <v>328</v>
      </c>
      <c r="D132" s="254">
        <v>10</v>
      </c>
      <c r="E132" s="256">
        <v>200281.82</v>
      </c>
      <c r="F132" s="256">
        <v>0</v>
      </c>
      <c r="G132" s="256">
        <v>187245.51</v>
      </c>
      <c r="H132" s="256">
        <v>135.82</v>
      </c>
      <c r="I132" s="256">
        <v>0</v>
      </c>
      <c r="J132" s="256">
        <v>55282.8</v>
      </c>
      <c r="K132" s="250">
        <f t="shared" ref="K132:K149" si="10">SUM(E132:J132)</f>
        <v>442945.95</v>
      </c>
      <c r="L132" s="251">
        <v>1219.79</v>
      </c>
      <c r="M132" s="252">
        <f t="shared" ref="M132:M149" si="11">K132/L132</f>
        <v>363.13295731232427</v>
      </c>
      <c r="N132" s="253">
        <f t="shared" si="7"/>
        <v>4.3422315196673056E-2</v>
      </c>
    </row>
    <row r="133" spans="1:14" x14ac:dyDescent="0.25">
      <c r="A133" s="254">
        <v>2018</v>
      </c>
      <c r="B133" s="254">
        <v>60006</v>
      </c>
      <c r="C133" s="255" t="s">
        <v>329</v>
      </c>
      <c r="D133" s="254">
        <v>10</v>
      </c>
      <c r="E133" s="256">
        <v>123296.81</v>
      </c>
      <c r="F133" s="256">
        <v>0</v>
      </c>
      <c r="G133" s="256">
        <v>22513.02</v>
      </c>
      <c r="H133" s="256">
        <v>851.77</v>
      </c>
      <c r="I133" s="256">
        <v>0</v>
      </c>
      <c r="J133" s="256">
        <v>16046.88</v>
      </c>
      <c r="K133" s="250">
        <f t="shared" si="10"/>
        <v>162708.47999999998</v>
      </c>
      <c r="L133" s="251">
        <v>344</v>
      </c>
      <c r="M133" s="252">
        <f t="shared" si="11"/>
        <v>472.98976744186041</v>
      </c>
      <c r="N133" s="253">
        <f t="shared" ref="N133:N149" si="12">(M133/$M$151)-1</f>
        <v>0.35908368621041231</v>
      </c>
    </row>
    <row r="134" spans="1:14" x14ac:dyDescent="0.25">
      <c r="A134" s="254">
        <v>2018</v>
      </c>
      <c r="B134" s="254">
        <v>11004</v>
      </c>
      <c r="C134" s="255" t="s">
        <v>330</v>
      </c>
      <c r="D134" s="254">
        <v>10</v>
      </c>
      <c r="E134" s="256">
        <v>133550.06</v>
      </c>
      <c r="F134" s="256">
        <v>0</v>
      </c>
      <c r="G134" s="256">
        <v>33146.04</v>
      </c>
      <c r="H134" s="256">
        <v>0</v>
      </c>
      <c r="I134" s="256">
        <v>6205.04</v>
      </c>
      <c r="J134" s="256">
        <v>30262.38</v>
      </c>
      <c r="K134" s="250">
        <f t="shared" si="10"/>
        <v>203163.52000000002</v>
      </c>
      <c r="L134" s="251">
        <v>848.99</v>
      </c>
      <c r="M134" s="252">
        <f t="shared" si="11"/>
        <v>239.30025088634733</v>
      </c>
      <c r="N134" s="253">
        <f t="shared" si="12"/>
        <v>-0.31239724519902989</v>
      </c>
    </row>
    <row r="135" spans="1:14" x14ac:dyDescent="0.25">
      <c r="A135" s="254">
        <v>2018</v>
      </c>
      <c r="B135" s="254">
        <v>51005</v>
      </c>
      <c r="C135" s="255" t="s">
        <v>331</v>
      </c>
      <c r="D135" s="254">
        <v>10</v>
      </c>
      <c r="E135" s="256">
        <v>135285.59</v>
      </c>
      <c r="F135" s="256">
        <v>0</v>
      </c>
      <c r="G135" s="256">
        <v>13760.5</v>
      </c>
      <c r="H135" s="256">
        <v>0</v>
      </c>
      <c r="I135" s="256">
        <v>0</v>
      </c>
      <c r="J135" s="256">
        <v>17842.599999999999</v>
      </c>
      <c r="K135" s="250">
        <f t="shared" si="10"/>
        <v>166888.69</v>
      </c>
      <c r="L135" s="251">
        <v>257</v>
      </c>
      <c r="M135" s="252">
        <f t="shared" si="11"/>
        <v>649.37233463035022</v>
      </c>
      <c r="N135" s="253">
        <f t="shared" si="12"/>
        <v>0.865899448619595</v>
      </c>
    </row>
    <row r="136" spans="1:14" x14ac:dyDescent="0.25">
      <c r="A136" s="254">
        <v>2018</v>
      </c>
      <c r="B136" s="254">
        <v>6005</v>
      </c>
      <c r="C136" s="255" t="s">
        <v>332</v>
      </c>
      <c r="D136" s="254">
        <v>10</v>
      </c>
      <c r="E136" s="256">
        <v>36126.43</v>
      </c>
      <c r="F136" s="256">
        <v>0</v>
      </c>
      <c r="G136" s="256">
        <v>17933.310000000001</v>
      </c>
      <c r="H136" s="256">
        <v>64.349999999999994</v>
      </c>
      <c r="I136" s="256">
        <v>0</v>
      </c>
      <c r="J136" s="256">
        <v>23952.89</v>
      </c>
      <c r="K136" s="250">
        <f t="shared" si="10"/>
        <v>78076.98000000001</v>
      </c>
      <c r="L136" s="251">
        <v>313</v>
      </c>
      <c r="M136" s="252">
        <f t="shared" si="11"/>
        <v>249.44722044728437</v>
      </c>
      <c r="N136" s="253">
        <f t="shared" si="12"/>
        <v>-0.28324105252000265</v>
      </c>
    </row>
    <row r="137" spans="1:14" x14ac:dyDescent="0.25">
      <c r="A137" s="254">
        <v>2018</v>
      </c>
      <c r="B137" s="254">
        <v>14004</v>
      </c>
      <c r="C137" s="255" t="s">
        <v>333</v>
      </c>
      <c r="D137" s="254">
        <v>10</v>
      </c>
      <c r="E137" s="256">
        <v>343373.18</v>
      </c>
      <c r="F137" s="256">
        <v>0</v>
      </c>
      <c r="G137" s="256">
        <v>446617.17</v>
      </c>
      <c r="H137" s="256">
        <v>19494.060000000001</v>
      </c>
      <c r="I137" s="256">
        <v>0</v>
      </c>
      <c r="J137" s="256">
        <v>414878.29</v>
      </c>
      <c r="K137" s="250">
        <f t="shared" si="10"/>
        <v>1224362.7</v>
      </c>
      <c r="L137" s="251">
        <v>3930.72</v>
      </c>
      <c r="M137" s="252">
        <f t="shared" si="11"/>
        <v>311.48560569056053</v>
      </c>
      <c r="N137" s="253">
        <f t="shared" si="12"/>
        <v>-0.10498062680511144</v>
      </c>
    </row>
    <row r="138" spans="1:14" x14ac:dyDescent="0.25">
      <c r="A138" s="254">
        <v>2018</v>
      </c>
      <c r="B138" s="254">
        <v>18003</v>
      </c>
      <c r="C138" s="255" t="s">
        <v>334</v>
      </c>
      <c r="D138" s="254">
        <v>10</v>
      </c>
      <c r="E138" s="256">
        <v>45821.88</v>
      </c>
      <c r="F138" s="256">
        <v>0</v>
      </c>
      <c r="G138" s="256">
        <v>23156.21</v>
      </c>
      <c r="H138" s="256">
        <v>0</v>
      </c>
      <c r="I138" s="256">
        <v>0</v>
      </c>
      <c r="J138" s="256">
        <v>11833.14</v>
      </c>
      <c r="K138" s="250">
        <f t="shared" si="10"/>
        <v>80811.23</v>
      </c>
      <c r="L138" s="251">
        <v>169</v>
      </c>
      <c r="M138" s="252">
        <f t="shared" si="11"/>
        <v>478.17295857988165</v>
      </c>
      <c r="N138" s="253">
        <f t="shared" si="12"/>
        <v>0.37397701161213148</v>
      </c>
    </row>
    <row r="139" spans="1:14" x14ac:dyDescent="0.25">
      <c r="A139" s="254">
        <v>2018</v>
      </c>
      <c r="B139" s="254">
        <v>14005</v>
      </c>
      <c r="C139" s="255" t="s">
        <v>335</v>
      </c>
      <c r="D139" s="254">
        <v>10</v>
      </c>
      <c r="E139" s="256">
        <v>56856.18</v>
      </c>
      <c r="F139" s="256">
        <v>0</v>
      </c>
      <c r="G139" s="256">
        <v>14563.52</v>
      </c>
      <c r="H139" s="256">
        <v>0</v>
      </c>
      <c r="I139" s="256">
        <v>0</v>
      </c>
      <c r="J139" s="256">
        <v>33840.94</v>
      </c>
      <c r="K139" s="250">
        <f t="shared" si="10"/>
        <v>105260.64</v>
      </c>
      <c r="L139" s="251">
        <v>246</v>
      </c>
      <c r="M139" s="252">
        <f t="shared" si="11"/>
        <v>427.88878048780487</v>
      </c>
      <c r="N139" s="253">
        <f t="shared" si="12"/>
        <v>0.22949099769885817</v>
      </c>
    </row>
    <row r="140" spans="1:14" x14ac:dyDescent="0.25">
      <c r="A140" s="254">
        <v>2018</v>
      </c>
      <c r="B140" s="254">
        <v>18005</v>
      </c>
      <c r="C140" s="255" t="s">
        <v>336</v>
      </c>
      <c r="D140" s="254">
        <v>10</v>
      </c>
      <c r="E140" s="256">
        <v>159041.45000000001</v>
      </c>
      <c r="F140" s="256">
        <v>0</v>
      </c>
      <c r="G140" s="256">
        <v>47538.75</v>
      </c>
      <c r="H140" s="256">
        <v>2642.28</v>
      </c>
      <c r="I140" s="256">
        <v>0</v>
      </c>
      <c r="J140" s="256">
        <v>35585.5</v>
      </c>
      <c r="K140" s="250">
        <f t="shared" si="10"/>
        <v>244807.98</v>
      </c>
      <c r="L140" s="251">
        <v>537</v>
      </c>
      <c r="M140" s="252">
        <f t="shared" si="11"/>
        <v>455.88078212290503</v>
      </c>
      <c r="N140" s="253">
        <f t="shared" si="12"/>
        <v>0.30992291269016103</v>
      </c>
    </row>
    <row r="141" spans="1:14" x14ac:dyDescent="0.25">
      <c r="A141" s="254">
        <v>2018</v>
      </c>
      <c r="B141" s="254">
        <v>36002</v>
      </c>
      <c r="C141" s="255" t="s">
        <v>337</v>
      </c>
      <c r="D141" s="254">
        <v>10</v>
      </c>
      <c r="E141" s="256">
        <v>107112.92</v>
      </c>
      <c r="F141" s="256">
        <v>0</v>
      </c>
      <c r="G141" s="256">
        <v>33725.160000000003</v>
      </c>
      <c r="H141" s="256">
        <v>0</v>
      </c>
      <c r="I141" s="256">
        <v>167248.6</v>
      </c>
      <c r="J141" s="256">
        <v>19294.400000000001</v>
      </c>
      <c r="K141" s="250">
        <f t="shared" si="10"/>
        <v>327381.08000000007</v>
      </c>
      <c r="L141" s="251">
        <v>332</v>
      </c>
      <c r="M141" s="252">
        <f t="shared" si="11"/>
        <v>986.08759036144602</v>
      </c>
      <c r="N141" s="253">
        <f t="shared" si="12"/>
        <v>1.833413425586444</v>
      </c>
    </row>
    <row r="142" spans="1:14" x14ac:dyDescent="0.25">
      <c r="A142" s="254">
        <v>2018</v>
      </c>
      <c r="B142" s="254">
        <v>49007</v>
      </c>
      <c r="C142" s="255" t="s">
        <v>338</v>
      </c>
      <c r="D142" s="254">
        <v>10</v>
      </c>
      <c r="E142" s="256">
        <v>295079.19</v>
      </c>
      <c r="F142" s="256">
        <v>0</v>
      </c>
      <c r="G142" s="256">
        <v>52374.05</v>
      </c>
      <c r="H142" s="256">
        <v>0</v>
      </c>
      <c r="I142" s="256">
        <v>0</v>
      </c>
      <c r="J142" s="256">
        <v>162796.46</v>
      </c>
      <c r="K142" s="250">
        <f t="shared" si="10"/>
        <v>510249.69999999995</v>
      </c>
      <c r="L142" s="251">
        <v>1364.2</v>
      </c>
      <c r="M142" s="252">
        <f t="shared" si="11"/>
        <v>374.02851488051601</v>
      </c>
      <c r="N142" s="253">
        <f t="shared" si="12"/>
        <v>7.4729492565824174E-2</v>
      </c>
    </row>
    <row r="143" spans="1:14" x14ac:dyDescent="0.25">
      <c r="A143" s="254">
        <v>2018</v>
      </c>
      <c r="B143" s="254">
        <v>47001</v>
      </c>
      <c r="C143" s="255" t="s">
        <v>340</v>
      </c>
      <c r="D143" s="254">
        <v>10</v>
      </c>
      <c r="E143" s="256">
        <v>67302.66</v>
      </c>
      <c r="F143" s="256">
        <v>0</v>
      </c>
      <c r="G143" s="256">
        <v>9828.1299999999992</v>
      </c>
      <c r="H143" s="256">
        <v>0</v>
      </c>
      <c r="I143" s="256">
        <v>0</v>
      </c>
      <c r="J143" s="256">
        <v>0</v>
      </c>
      <c r="K143" s="250">
        <f t="shared" si="10"/>
        <v>77130.790000000008</v>
      </c>
      <c r="L143" s="251">
        <v>404</v>
      </c>
      <c r="M143" s="252">
        <f t="shared" si="11"/>
        <v>190.917797029703</v>
      </c>
      <c r="N143" s="253">
        <f t="shared" si="12"/>
        <v>-0.45141886524597097</v>
      </c>
    </row>
    <row r="144" spans="1:14" x14ac:dyDescent="0.25">
      <c r="A144" s="254">
        <v>2018</v>
      </c>
      <c r="B144" s="254">
        <v>12003</v>
      </c>
      <c r="C144" s="255" t="s">
        <v>341</v>
      </c>
      <c r="D144" s="254">
        <v>10</v>
      </c>
      <c r="E144" s="256">
        <v>358129.39</v>
      </c>
      <c r="F144" s="256">
        <v>0</v>
      </c>
      <c r="G144" s="256">
        <v>9411.0300000000007</v>
      </c>
      <c r="H144" s="256">
        <v>2854.01</v>
      </c>
      <c r="I144" s="256">
        <v>0</v>
      </c>
      <c r="J144" s="256">
        <v>11209.61</v>
      </c>
      <c r="K144" s="250">
        <f t="shared" si="10"/>
        <v>381604.04000000004</v>
      </c>
      <c r="L144" s="251">
        <v>237</v>
      </c>
      <c r="M144" s="252">
        <f t="shared" si="11"/>
        <v>1610.1436286919832</v>
      </c>
      <c r="N144" s="253">
        <f t="shared" si="12"/>
        <v>3.6265693020090479</v>
      </c>
    </row>
    <row r="145" spans="1:17" x14ac:dyDescent="0.25">
      <c r="A145" s="254">
        <v>2018</v>
      </c>
      <c r="B145" s="254">
        <v>54007</v>
      </c>
      <c r="C145" s="255" t="s">
        <v>342</v>
      </c>
      <c r="D145" s="254">
        <v>10</v>
      </c>
      <c r="E145" s="256">
        <v>72232.19</v>
      </c>
      <c r="F145" s="256">
        <v>0</v>
      </c>
      <c r="G145" s="256">
        <v>22693.4</v>
      </c>
      <c r="H145" s="256">
        <v>471.88</v>
      </c>
      <c r="I145" s="256">
        <v>0</v>
      </c>
      <c r="J145" s="256">
        <v>17352.419999999998</v>
      </c>
      <c r="K145" s="250">
        <f t="shared" si="10"/>
        <v>112749.89</v>
      </c>
      <c r="L145" s="251">
        <v>222</v>
      </c>
      <c r="M145" s="252">
        <f t="shared" si="11"/>
        <v>507.88238738738738</v>
      </c>
      <c r="N145" s="253">
        <f t="shared" si="12"/>
        <v>0.4593437632805466</v>
      </c>
      <c r="Q145" s="308"/>
    </row>
    <row r="146" spans="1:17" x14ac:dyDescent="0.25">
      <c r="A146" s="254">
        <v>2018</v>
      </c>
      <c r="B146" s="254">
        <v>59002</v>
      </c>
      <c r="C146" s="255" t="s">
        <v>343</v>
      </c>
      <c r="D146" s="254">
        <v>10</v>
      </c>
      <c r="E146" s="256">
        <v>246273.45</v>
      </c>
      <c r="F146" s="256">
        <v>0</v>
      </c>
      <c r="G146" s="256">
        <v>36026.480000000003</v>
      </c>
      <c r="H146" s="256">
        <v>0</v>
      </c>
      <c r="I146" s="256">
        <v>0</v>
      </c>
      <c r="J146" s="256">
        <v>47822.93</v>
      </c>
      <c r="K146" s="250">
        <f t="shared" si="10"/>
        <v>330122.86</v>
      </c>
      <c r="L146" s="251">
        <v>723</v>
      </c>
      <c r="M146" s="252">
        <f t="shared" si="11"/>
        <v>456.60146611341628</v>
      </c>
      <c r="N146" s="253">
        <f t="shared" si="12"/>
        <v>0.31199371828013023</v>
      </c>
    </row>
    <row r="147" spans="1:17" x14ac:dyDescent="0.25">
      <c r="A147" s="254">
        <v>2018</v>
      </c>
      <c r="B147" s="254">
        <v>2006</v>
      </c>
      <c r="C147" s="255" t="s">
        <v>344</v>
      </c>
      <c r="D147" s="254">
        <v>10</v>
      </c>
      <c r="E147" s="256">
        <v>64886.15</v>
      </c>
      <c r="F147" s="256">
        <v>0</v>
      </c>
      <c r="G147" s="256">
        <v>17810.5</v>
      </c>
      <c r="H147" s="256">
        <v>9858.81</v>
      </c>
      <c r="I147" s="256">
        <v>0</v>
      </c>
      <c r="J147" s="256">
        <v>24770.04</v>
      </c>
      <c r="K147" s="250">
        <f t="shared" si="10"/>
        <v>117325.5</v>
      </c>
      <c r="L147" s="251">
        <v>362</v>
      </c>
      <c r="M147" s="252">
        <f t="shared" si="11"/>
        <v>324.10359116022101</v>
      </c>
      <c r="N147" s="253">
        <f t="shared" si="12"/>
        <v>-6.8724243718000566E-2</v>
      </c>
    </row>
    <row r="148" spans="1:17" x14ac:dyDescent="0.25">
      <c r="A148" s="254">
        <v>2018</v>
      </c>
      <c r="B148" s="254">
        <v>55004</v>
      </c>
      <c r="C148" s="255" t="s">
        <v>345</v>
      </c>
      <c r="D148" s="254">
        <v>10</v>
      </c>
      <c r="E148" s="256">
        <v>56166.32</v>
      </c>
      <c r="F148" s="256">
        <v>0</v>
      </c>
      <c r="G148" s="256">
        <v>15942.42</v>
      </c>
      <c r="H148" s="256">
        <v>0</v>
      </c>
      <c r="I148" s="256">
        <v>0</v>
      </c>
      <c r="J148" s="256">
        <v>5539.85</v>
      </c>
      <c r="K148" s="250">
        <f t="shared" si="10"/>
        <v>77648.590000000011</v>
      </c>
      <c r="L148" s="251">
        <v>233</v>
      </c>
      <c r="M148" s="252">
        <f t="shared" si="11"/>
        <v>333.2557510729614</v>
      </c>
      <c r="N148" s="253">
        <f t="shared" si="12"/>
        <v>-4.2426526331284964E-2</v>
      </c>
    </row>
    <row r="149" spans="1:17" x14ac:dyDescent="0.25">
      <c r="A149" s="254">
        <v>2018</v>
      </c>
      <c r="B149" s="254">
        <v>63003</v>
      </c>
      <c r="C149" s="255" t="s">
        <v>346</v>
      </c>
      <c r="D149" s="254">
        <v>10</v>
      </c>
      <c r="E149" s="256">
        <v>323665.27</v>
      </c>
      <c r="F149" s="256">
        <v>0</v>
      </c>
      <c r="G149" s="256">
        <v>379618.94</v>
      </c>
      <c r="H149" s="256">
        <v>0</v>
      </c>
      <c r="I149" s="256">
        <v>0</v>
      </c>
      <c r="J149" s="256">
        <v>315023.82</v>
      </c>
      <c r="K149" s="250">
        <f t="shared" si="10"/>
        <v>1018308.03</v>
      </c>
      <c r="L149" s="251">
        <v>2723.12</v>
      </c>
      <c r="M149" s="252">
        <f t="shared" si="11"/>
        <v>373.94901069361617</v>
      </c>
      <c r="N149" s="253">
        <f t="shared" si="12"/>
        <v>7.4501046094380463E-2</v>
      </c>
    </row>
    <row r="150" spans="1:17" ht="4.5" customHeight="1" x14ac:dyDescent="0.25">
      <c r="A150" s="257"/>
      <c r="B150" s="257"/>
      <c r="C150" s="258"/>
      <c r="D150" s="257"/>
      <c r="E150" s="250"/>
      <c r="F150" s="250"/>
      <c r="G150" s="250"/>
      <c r="H150" s="250"/>
      <c r="I150" s="250"/>
      <c r="J150" s="250"/>
      <c r="K150" s="250"/>
      <c r="L150" s="251"/>
      <c r="M150" s="252"/>
      <c r="N150" s="253"/>
    </row>
    <row r="151" spans="1:17" x14ac:dyDescent="0.25">
      <c r="C151" s="258" t="s">
        <v>531</v>
      </c>
      <c r="E151" s="259">
        <f t="shared" ref="E151:L151" si="13">SUM(E4:E149)</f>
        <v>24384521.789999988</v>
      </c>
      <c r="F151" s="259">
        <f t="shared" si="13"/>
        <v>18276.78</v>
      </c>
      <c r="G151" s="259">
        <f t="shared" si="13"/>
        <v>9204552.1699999999</v>
      </c>
      <c r="H151" s="259">
        <f t="shared" si="13"/>
        <v>395107.52</v>
      </c>
      <c r="I151" s="259">
        <f t="shared" si="13"/>
        <v>1457357.94</v>
      </c>
      <c r="J151" s="259">
        <f t="shared" si="13"/>
        <v>11096038.58</v>
      </c>
      <c r="K151" s="259">
        <f t="shared" si="13"/>
        <v>46555854.780000001</v>
      </c>
      <c r="L151" s="260">
        <f t="shared" si="13"/>
        <v>133773.08999999997</v>
      </c>
      <c r="M151" s="261">
        <f>K151/L151</f>
        <v>348.02107643622503</v>
      </c>
      <c r="N151" s="253"/>
    </row>
    <row r="152" spans="1:17" x14ac:dyDescent="0.25">
      <c r="C152" s="258"/>
      <c r="D152" s="262" t="s">
        <v>532</v>
      </c>
      <c r="E152" s="263">
        <f t="shared" ref="E152:J152" si="14">E151/$K$151</f>
        <v>0.52376917801701217</v>
      </c>
      <c r="F152" s="263">
        <f t="shared" si="14"/>
        <v>3.9257747680430407E-4</v>
      </c>
      <c r="G152" s="263">
        <f t="shared" si="14"/>
        <v>0.19770987373115953</v>
      </c>
      <c r="H152" s="263">
        <f t="shared" si="14"/>
        <v>8.4867418258580633E-3</v>
      </c>
      <c r="I152" s="263">
        <f t="shared" si="14"/>
        <v>3.1303429974312673E-2</v>
      </c>
      <c r="J152" s="263">
        <f t="shared" si="14"/>
        <v>0.23833819897485298</v>
      </c>
      <c r="M152" s="262"/>
      <c r="O152" s="262" t="s">
        <v>546</v>
      </c>
      <c r="P152" s="245">
        <f>COUNTIF($N$4:$N$149,"&gt;0")</f>
        <v>97</v>
      </c>
    </row>
    <row r="153" spans="1:17" x14ac:dyDescent="0.25">
      <c r="D153" s="262" t="s">
        <v>533</v>
      </c>
      <c r="E153" s="245">
        <f t="shared" ref="E153:J153" si="15">COUNTIF(E4:E149,"&gt;0")</f>
        <v>146</v>
      </c>
      <c r="F153" s="245">
        <f t="shared" si="15"/>
        <v>5</v>
      </c>
      <c r="G153" s="245">
        <f t="shared" si="15"/>
        <v>146</v>
      </c>
      <c r="H153" s="245">
        <f t="shared" si="15"/>
        <v>61</v>
      </c>
      <c r="I153" s="245">
        <f t="shared" si="15"/>
        <v>11</v>
      </c>
      <c r="J153" s="245">
        <f t="shared" si="15"/>
        <v>145</v>
      </c>
      <c r="M153" s="262"/>
      <c r="O153" s="262" t="s">
        <v>547</v>
      </c>
      <c r="P153" s="245">
        <f>COUNTIF($N$4:$N$149,"&lt;=0")</f>
        <v>49</v>
      </c>
    </row>
    <row r="154" spans="1:17" x14ac:dyDescent="0.25">
      <c r="P154" s="245">
        <f>SUM(P152:P153)</f>
        <v>146</v>
      </c>
    </row>
    <row r="155" spans="1:17" x14ac:dyDescent="0.25">
      <c r="M155" s="262"/>
    </row>
    <row r="156" spans="1:17" ht="45" x14ac:dyDescent="0.25">
      <c r="A156" s="245" t="s">
        <v>534</v>
      </c>
      <c r="E156" s="246" t="s">
        <v>507</v>
      </c>
      <c r="F156" s="246" t="s">
        <v>508</v>
      </c>
      <c r="G156" s="246" t="s">
        <v>509</v>
      </c>
      <c r="H156" s="246" t="s">
        <v>508</v>
      </c>
      <c r="I156" s="246" t="s">
        <v>510</v>
      </c>
      <c r="J156" s="246" t="s">
        <v>511</v>
      </c>
      <c r="K156" s="246" t="s">
        <v>526</v>
      </c>
      <c r="L156" s="246" t="s">
        <v>527</v>
      </c>
      <c r="M156" s="246" t="s">
        <v>528</v>
      </c>
    </row>
    <row r="157" spans="1:17" x14ac:dyDescent="0.25">
      <c r="A157" s="254">
        <v>2018</v>
      </c>
      <c r="B157" s="254">
        <v>31001</v>
      </c>
      <c r="C157" s="255" t="s">
        <v>260</v>
      </c>
      <c r="D157" s="254">
        <v>10</v>
      </c>
      <c r="E157" s="256">
        <v>156664.84</v>
      </c>
      <c r="F157" s="256">
        <v>0</v>
      </c>
      <c r="G157" s="256">
        <v>23140.240000000002</v>
      </c>
      <c r="H157" s="256">
        <v>0</v>
      </c>
      <c r="I157" s="256">
        <v>0</v>
      </c>
      <c r="J157" s="256">
        <v>19834.02</v>
      </c>
      <c r="K157" s="250">
        <f>SUM(E157:J157)</f>
        <v>199639.09999999998</v>
      </c>
      <c r="L157" s="251">
        <v>195.25</v>
      </c>
      <c r="M157" s="252">
        <f>K157/L157</f>
        <v>1022.4793854033289</v>
      </c>
    </row>
    <row r="158" spans="1:17" x14ac:dyDescent="0.25">
      <c r="A158" s="254">
        <v>2018</v>
      </c>
      <c r="B158" s="254">
        <v>53002</v>
      </c>
      <c r="C158" s="255" t="s">
        <v>268</v>
      </c>
      <c r="D158" s="254">
        <v>10</v>
      </c>
      <c r="E158" s="256">
        <v>95221.68</v>
      </c>
      <c r="F158" s="256">
        <v>0</v>
      </c>
      <c r="G158" s="256">
        <v>14054.16</v>
      </c>
      <c r="H158" s="256">
        <v>0</v>
      </c>
      <c r="I158" s="256">
        <v>0</v>
      </c>
      <c r="J158" s="256">
        <v>23155.26</v>
      </c>
      <c r="K158" s="250">
        <f>SUM(E158:J158)</f>
        <v>132431.1</v>
      </c>
      <c r="L158" s="251">
        <v>102</v>
      </c>
      <c r="M158" s="252">
        <f>K158/L158</f>
        <v>1298.344117647059</v>
      </c>
    </row>
    <row r="159" spans="1:17" x14ac:dyDescent="0.25">
      <c r="A159" s="254">
        <v>2018</v>
      </c>
      <c r="B159" s="254">
        <v>1003</v>
      </c>
      <c r="C159" s="255" t="s">
        <v>339</v>
      </c>
      <c r="D159" s="254">
        <v>10</v>
      </c>
      <c r="E159" s="256">
        <v>38782.82</v>
      </c>
      <c r="F159" s="256">
        <v>0</v>
      </c>
      <c r="G159" s="256">
        <v>13818.64</v>
      </c>
      <c r="H159" s="256">
        <v>0</v>
      </c>
      <c r="I159" s="256">
        <v>138162.49</v>
      </c>
      <c r="J159" s="256">
        <v>21939.06</v>
      </c>
      <c r="K159" s="250">
        <f>SUM(E159:J159)</f>
        <v>212703.00999999998</v>
      </c>
      <c r="L159" s="251">
        <v>116</v>
      </c>
      <c r="M159" s="252">
        <f>K159/L159</f>
        <v>1833.6466379310343</v>
      </c>
    </row>
    <row r="160" spans="1:17" x14ac:dyDescent="0.25">
      <c r="K160" s="264">
        <f>SUM(K157:K159)</f>
        <v>544773.21</v>
      </c>
    </row>
  </sheetData>
  <autoFilter ref="A3:N3" xr:uid="{35A1FF64-0CA5-46AB-BA7B-4448301A57A6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B08-CA39-49AF-B090-52136CB21CAC}">
  <dimension ref="A1:I161"/>
  <sheetViews>
    <sheetView workbookViewId="0">
      <pane xSplit="3" ySplit="3" topLeftCell="D122" activePane="bottomRight" state="frozen"/>
      <selection pane="topRight" activeCell="D1" sqref="D1"/>
      <selection pane="bottomLeft" activeCell="A4" sqref="A4"/>
      <selection pane="bottomRight" activeCell="T34" sqref="T34"/>
    </sheetView>
  </sheetViews>
  <sheetFormatPr defaultRowHeight="14.25" x14ac:dyDescent="0.25"/>
  <cols>
    <col min="1" max="1" width="6.140625" style="3" customWidth="1"/>
    <col min="2" max="2" width="7.28515625" style="3" customWidth="1"/>
    <col min="3" max="3" width="24.5703125" style="3" bestFit="1" customWidth="1"/>
    <col min="4" max="4" width="13.85546875" style="3" bestFit="1" customWidth="1"/>
    <col min="5" max="5" width="11.42578125" style="3" bestFit="1" customWidth="1"/>
    <col min="6" max="6" width="13.28515625" style="3" customWidth="1"/>
    <col min="7" max="8" width="12.140625" style="3" bestFit="1" customWidth="1"/>
    <col min="9" max="9" width="13.85546875" style="3" bestFit="1" customWidth="1"/>
    <col min="10" max="16384" width="9.140625" style="3"/>
  </cols>
  <sheetData>
    <row r="1" spans="1:9" x14ac:dyDescent="0.25">
      <c r="A1" s="265" t="s">
        <v>535</v>
      </c>
      <c r="B1" s="265"/>
      <c r="C1" s="265"/>
      <c r="D1" s="529"/>
      <c r="E1" s="529"/>
      <c r="F1" s="530" t="s">
        <v>187</v>
      </c>
      <c r="G1" s="530"/>
      <c r="H1" s="531"/>
      <c r="I1" s="531"/>
    </row>
    <row r="2" spans="1:9" x14ac:dyDescent="0.25">
      <c r="A2" s="266"/>
      <c r="B2" s="267"/>
      <c r="C2" s="266" t="s">
        <v>536</v>
      </c>
      <c r="D2" s="268">
        <v>1140</v>
      </c>
      <c r="E2" s="268">
        <v>1210</v>
      </c>
      <c r="F2" s="269">
        <v>2110</v>
      </c>
      <c r="G2" s="269">
        <v>2200</v>
      </c>
      <c r="H2" s="270">
        <v>3113</v>
      </c>
      <c r="I2" s="270">
        <v>3114</v>
      </c>
    </row>
    <row r="3" spans="1:9" ht="42.75" x14ac:dyDescent="0.25">
      <c r="A3" s="271" t="s">
        <v>529</v>
      </c>
      <c r="B3" s="272" t="s">
        <v>537</v>
      </c>
      <c r="C3" s="272" t="s">
        <v>19</v>
      </c>
      <c r="D3" s="268" t="s">
        <v>507</v>
      </c>
      <c r="E3" s="268" t="s">
        <v>508</v>
      </c>
      <c r="F3" s="269" t="s">
        <v>509</v>
      </c>
      <c r="G3" s="269" t="s">
        <v>508</v>
      </c>
      <c r="H3" s="270" t="s">
        <v>538</v>
      </c>
      <c r="I3" s="270" t="s">
        <v>539</v>
      </c>
    </row>
    <row r="4" spans="1:9" x14ac:dyDescent="0.25">
      <c r="A4" s="273">
        <v>2017</v>
      </c>
      <c r="B4" s="273">
        <v>6001</v>
      </c>
      <c r="C4" s="274" t="s">
        <v>198</v>
      </c>
      <c r="D4" s="275">
        <v>753948.74</v>
      </c>
      <c r="E4" s="276"/>
      <c r="F4" s="275">
        <v>356042.73</v>
      </c>
      <c r="G4" s="275">
        <v>16858.080000000002</v>
      </c>
      <c r="H4" s="276"/>
      <c r="I4" s="275">
        <v>286563.36</v>
      </c>
    </row>
    <row r="5" spans="1:9" x14ac:dyDescent="0.25">
      <c r="A5" s="273">
        <v>2017</v>
      </c>
      <c r="B5" s="273">
        <v>58003</v>
      </c>
      <c r="C5" s="274" t="s">
        <v>199</v>
      </c>
      <c r="D5" s="275">
        <v>207665.11</v>
      </c>
      <c r="E5" s="276"/>
      <c r="F5" s="275">
        <v>30078.52</v>
      </c>
      <c r="G5" s="276"/>
      <c r="H5" s="276"/>
      <c r="I5" s="275">
        <v>60209.11</v>
      </c>
    </row>
    <row r="6" spans="1:9" x14ac:dyDescent="0.25">
      <c r="A6" s="273">
        <v>2017</v>
      </c>
      <c r="B6" s="273">
        <v>61001</v>
      </c>
      <c r="C6" s="274" t="s">
        <v>200</v>
      </c>
      <c r="D6" s="275">
        <v>95928.03</v>
      </c>
      <c r="E6" s="276"/>
      <c r="F6" s="275">
        <v>36156.86</v>
      </c>
      <c r="G6" s="276"/>
      <c r="H6" s="276"/>
      <c r="I6" s="275">
        <v>23099.39</v>
      </c>
    </row>
    <row r="7" spans="1:9" x14ac:dyDescent="0.25">
      <c r="A7" s="273">
        <v>2017</v>
      </c>
      <c r="B7" s="273">
        <v>11001</v>
      </c>
      <c r="C7" s="274" t="s">
        <v>201</v>
      </c>
      <c r="D7" s="275">
        <v>78025.06</v>
      </c>
      <c r="E7" s="276"/>
      <c r="F7" s="275">
        <v>14727.03</v>
      </c>
      <c r="G7" s="275">
        <v>504.61</v>
      </c>
      <c r="H7" s="276"/>
      <c r="I7" s="275">
        <v>19274.12</v>
      </c>
    </row>
    <row r="8" spans="1:9" x14ac:dyDescent="0.25">
      <c r="A8" s="273">
        <v>2017</v>
      </c>
      <c r="B8" s="273">
        <v>38001</v>
      </c>
      <c r="C8" s="274" t="s">
        <v>202</v>
      </c>
      <c r="D8" s="275">
        <v>54282.69</v>
      </c>
      <c r="E8" s="276"/>
      <c r="F8" s="275">
        <v>22098.15</v>
      </c>
      <c r="G8" s="275">
        <v>6526.83</v>
      </c>
      <c r="H8" s="276"/>
      <c r="I8" s="275">
        <v>35155.42</v>
      </c>
    </row>
    <row r="9" spans="1:9" x14ac:dyDescent="0.25">
      <c r="A9" s="273">
        <v>2017</v>
      </c>
      <c r="B9" s="273">
        <v>21001</v>
      </c>
      <c r="C9" s="274" t="s">
        <v>203</v>
      </c>
      <c r="D9" s="275">
        <v>57063.37</v>
      </c>
      <c r="E9" s="276"/>
      <c r="F9" s="275">
        <v>17408.41</v>
      </c>
      <c r="G9" s="275">
        <v>1610.18</v>
      </c>
      <c r="H9" s="276"/>
      <c r="I9" s="275">
        <v>11342.13</v>
      </c>
    </row>
    <row r="10" spans="1:9" x14ac:dyDescent="0.25">
      <c r="A10" s="273">
        <v>2017</v>
      </c>
      <c r="B10" s="273">
        <v>4001</v>
      </c>
      <c r="C10" s="274" t="s">
        <v>204</v>
      </c>
      <c r="D10" s="275">
        <v>51496.35</v>
      </c>
      <c r="E10" s="276"/>
      <c r="F10" s="275">
        <v>7164.04</v>
      </c>
      <c r="G10" s="275">
        <v>2637.21</v>
      </c>
      <c r="H10" s="276"/>
      <c r="I10" s="275">
        <v>10434.219999999999</v>
      </c>
    </row>
    <row r="11" spans="1:9" x14ac:dyDescent="0.25">
      <c r="A11" s="273">
        <v>2017</v>
      </c>
      <c r="B11" s="273">
        <v>49001</v>
      </c>
      <c r="C11" s="274" t="s">
        <v>205</v>
      </c>
      <c r="D11" s="275">
        <v>89759.7</v>
      </c>
      <c r="E11" s="276"/>
      <c r="F11" s="275">
        <v>16575.39</v>
      </c>
      <c r="G11" s="276"/>
      <c r="H11" s="276"/>
      <c r="I11" s="275">
        <v>55840.92</v>
      </c>
    </row>
    <row r="12" spans="1:9" x14ac:dyDescent="0.25">
      <c r="A12" s="273">
        <v>2017</v>
      </c>
      <c r="B12" s="273">
        <v>9001</v>
      </c>
      <c r="C12" s="274" t="s">
        <v>206</v>
      </c>
      <c r="D12" s="275">
        <v>87291.17</v>
      </c>
      <c r="E12" s="276"/>
      <c r="F12" s="275">
        <v>112454.2</v>
      </c>
      <c r="G12" s="276"/>
      <c r="H12" s="276"/>
      <c r="I12" s="275">
        <v>74970.539999999994</v>
      </c>
    </row>
    <row r="13" spans="1:9" x14ac:dyDescent="0.25">
      <c r="A13" s="273">
        <v>2017</v>
      </c>
      <c r="B13" s="273">
        <v>3001</v>
      </c>
      <c r="C13" s="274" t="s">
        <v>207</v>
      </c>
      <c r="D13" s="275">
        <v>164007.54999999999</v>
      </c>
      <c r="E13" s="276"/>
      <c r="F13" s="275">
        <v>23354.12</v>
      </c>
      <c r="G13" s="276"/>
      <c r="H13" s="276"/>
      <c r="I13" s="275">
        <v>19787.09</v>
      </c>
    </row>
    <row r="14" spans="1:9" x14ac:dyDescent="0.25">
      <c r="A14" s="273">
        <v>2017</v>
      </c>
      <c r="B14" s="273">
        <v>61002</v>
      </c>
      <c r="C14" s="274" t="s">
        <v>208</v>
      </c>
      <c r="D14" s="275">
        <v>56691.11</v>
      </c>
      <c r="E14" s="276"/>
      <c r="F14" s="275">
        <v>65661.210000000006</v>
      </c>
      <c r="G14" s="276"/>
      <c r="H14" s="276"/>
      <c r="I14" s="275">
        <v>47027.48</v>
      </c>
    </row>
    <row r="15" spans="1:9" x14ac:dyDescent="0.25">
      <c r="A15" s="273">
        <v>2017</v>
      </c>
      <c r="B15" s="273">
        <v>25001</v>
      </c>
      <c r="C15" s="274" t="s">
        <v>209</v>
      </c>
      <c r="D15" s="275">
        <v>18807.73</v>
      </c>
      <c r="E15" s="276"/>
      <c r="F15" s="275">
        <v>4726.32</v>
      </c>
      <c r="G15" s="276"/>
      <c r="H15" s="276"/>
      <c r="I15" s="275">
        <v>12303.55</v>
      </c>
    </row>
    <row r="16" spans="1:9" x14ac:dyDescent="0.25">
      <c r="A16" s="273">
        <v>2017</v>
      </c>
      <c r="B16" s="273">
        <v>52001</v>
      </c>
      <c r="C16" s="274" t="s">
        <v>210</v>
      </c>
      <c r="D16" s="275">
        <v>93253.57</v>
      </c>
      <c r="E16" s="276"/>
      <c r="F16" s="275">
        <v>9461.08</v>
      </c>
      <c r="G16" s="275">
        <v>2826.09</v>
      </c>
      <c r="H16" s="276"/>
      <c r="I16" s="275">
        <v>24325.67</v>
      </c>
    </row>
    <row r="17" spans="1:9" x14ac:dyDescent="0.25">
      <c r="A17" s="273">
        <v>2017</v>
      </c>
      <c r="B17" s="273">
        <v>4002</v>
      </c>
      <c r="C17" s="274" t="s">
        <v>211</v>
      </c>
      <c r="D17" s="275">
        <v>147234.12</v>
      </c>
      <c r="E17" s="276"/>
      <c r="F17" s="275">
        <v>16816.189999999999</v>
      </c>
      <c r="G17" s="275">
        <v>3053.04</v>
      </c>
      <c r="H17" s="276"/>
      <c r="I17" s="275">
        <v>18676.3</v>
      </c>
    </row>
    <row r="18" spans="1:9" x14ac:dyDescent="0.25">
      <c r="A18" s="273">
        <v>2017</v>
      </c>
      <c r="B18" s="273">
        <v>22001</v>
      </c>
      <c r="C18" s="274" t="s">
        <v>212</v>
      </c>
      <c r="D18" s="275">
        <v>49191.73</v>
      </c>
      <c r="E18" s="276"/>
      <c r="F18" s="275">
        <v>15932.39</v>
      </c>
      <c r="G18" s="275">
        <v>3299.98</v>
      </c>
      <c r="H18" s="276"/>
      <c r="I18" s="275">
        <v>14473.4</v>
      </c>
    </row>
    <row r="19" spans="1:9" x14ac:dyDescent="0.25">
      <c r="A19" s="273">
        <v>2017</v>
      </c>
      <c r="B19" s="273">
        <v>49002</v>
      </c>
      <c r="C19" s="274" t="s">
        <v>213</v>
      </c>
      <c r="D19" s="275">
        <v>782359.42</v>
      </c>
      <c r="E19" s="276"/>
      <c r="F19" s="275">
        <v>154271.13</v>
      </c>
      <c r="G19" s="276"/>
      <c r="H19" s="276"/>
      <c r="I19" s="275">
        <v>547754.36</v>
      </c>
    </row>
    <row r="20" spans="1:9" x14ac:dyDescent="0.25">
      <c r="A20" s="273">
        <v>2017</v>
      </c>
      <c r="B20" s="273">
        <v>30003</v>
      </c>
      <c r="C20" s="274" t="s">
        <v>214</v>
      </c>
      <c r="D20" s="275">
        <v>73229.600000000006</v>
      </c>
      <c r="E20" s="276"/>
      <c r="F20" s="275">
        <v>25323.93</v>
      </c>
      <c r="G20" s="275">
        <v>315.69</v>
      </c>
      <c r="H20" s="276"/>
      <c r="I20" s="275">
        <v>14556.7</v>
      </c>
    </row>
    <row r="21" spans="1:9" x14ac:dyDescent="0.25">
      <c r="A21" s="273">
        <v>2017</v>
      </c>
      <c r="B21" s="273">
        <v>45004</v>
      </c>
      <c r="C21" s="274" t="s">
        <v>215</v>
      </c>
      <c r="D21" s="275">
        <v>239994.94</v>
      </c>
      <c r="E21" s="276"/>
      <c r="F21" s="275">
        <v>36929.449999999997</v>
      </c>
      <c r="G21" s="276"/>
      <c r="H21" s="276"/>
      <c r="I21" s="275">
        <v>30436.560000000001</v>
      </c>
    </row>
    <row r="22" spans="1:9" x14ac:dyDescent="0.25">
      <c r="A22" s="273">
        <v>2017</v>
      </c>
      <c r="B22" s="273">
        <v>5001</v>
      </c>
      <c r="C22" s="274" t="s">
        <v>216</v>
      </c>
      <c r="D22" s="275">
        <v>419987.55</v>
      </c>
      <c r="E22" s="276"/>
      <c r="F22" s="275">
        <v>367285.69</v>
      </c>
      <c r="G22" s="276"/>
      <c r="H22" s="276"/>
      <c r="I22" s="275">
        <v>285328.34000000003</v>
      </c>
    </row>
    <row r="23" spans="1:9" x14ac:dyDescent="0.25">
      <c r="A23" s="273">
        <v>2017</v>
      </c>
      <c r="B23" s="273">
        <v>26002</v>
      </c>
      <c r="C23" s="274" t="s">
        <v>217</v>
      </c>
      <c r="D23" s="275">
        <v>64594.78</v>
      </c>
      <c r="E23" s="276"/>
      <c r="F23" s="275">
        <v>11154.49</v>
      </c>
      <c r="G23" s="275">
        <v>4260.32</v>
      </c>
      <c r="H23" s="276"/>
      <c r="I23" s="275">
        <v>18942.509999999998</v>
      </c>
    </row>
    <row r="24" spans="1:9" x14ac:dyDescent="0.25">
      <c r="A24" s="273">
        <v>2017</v>
      </c>
      <c r="B24" s="273">
        <v>43001</v>
      </c>
      <c r="C24" s="274" t="s">
        <v>218</v>
      </c>
      <c r="D24" s="275">
        <v>53022.75</v>
      </c>
      <c r="E24" s="276"/>
      <c r="F24" s="275">
        <v>18113.54</v>
      </c>
      <c r="G24" s="276"/>
      <c r="H24" s="276"/>
      <c r="I24" s="275">
        <v>7102.44</v>
      </c>
    </row>
    <row r="25" spans="1:9" x14ac:dyDescent="0.25">
      <c r="A25" s="273">
        <v>2017</v>
      </c>
      <c r="B25" s="273">
        <v>41001</v>
      </c>
      <c r="C25" s="274" t="s">
        <v>219</v>
      </c>
      <c r="D25" s="275">
        <v>159564.76999999999</v>
      </c>
      <c r="E25" s="276"/>
      <c r="F25" s="275">
        <v>32582.76</v>
      </c>
      <c r="G25" s="276"/>
      <c r="H25" s="276"/>
      <c r="I25" s="275">
        <v>31077.05</v>
      </c>
    </row>
    <row r="26" spans="1:9" x14ac:dyDescent="0.25">
      <c r="A26" s="273">
        <v>2017</v>
      </c>
      <c r="B26" s="273">
        <v>28001</v>
      </c>
      <c r="C26" s="274" t="s">
        <v>220</v>
      </c>
      <c r="D26" s="275">
        <v>77614.27</v>
      </c>
      <c r="E26" s="276"/>
      <c r="F26" s="275">
        <v>14345.29</v>
      </c>
      <c r="G26" s="275">
        <v>360.16</v>
      </c>
      <c r="H26" s="276"/>
      <c r="I26" s="275">
        <v>12777.39</v>
      </c>
    </row>
    <row r="27" spans="1:9" x14ac:dyDescent="0.25">
      <c r="A27" s="273">
        <v>2017</v>
      </c>
      <c r="B27" s="273">
        <v>60001</v>
      </c>
      <c r="C27" s="274" t="s">
        <v>221</v>
      </c>
      <c r="D27" s="275">
        <v>50549.26</v>
      </c>
      <c r="E27" s="276"/>
      <c r="F27" s="275">
        <v>16465.53</v>
      </c>
      <c r="G27" s="276"/>
      <c r="H27" s="276"/>
      <c r="I27" s="275">
        <v>7555.58</v>
      </c>
    </row>
    <row r="28" spans="1:9" x14ac:dyDescent="0.25">
      <c r="A28" s="273">
        <v>2017</v>
      </c>
      <c r="B28" s="273">
        <v>7001</v>
      </c>
      <c r="C28" s="274" t="s">
        <v>222</v>
      </c>
      <c r="D28" s="275">
        <v>291203.02</v>
      </c>
      <c r="E28" s="276"/>
      <c r="F28" s="275">
        <v>57492.800000000003</v>
      </c>
      <c r="G28" s="276"/>
      <c r="H28" s="276"/>
      <c r="I28" s="275">
        <v>79703.48</v>
      </c>
    </row>
    <row r="29" spans="1:9" x14ac:dyDescent="0.25">
      <c r="A29" s="273">
        <v>2017</v>
      </c>
      <c r="B29" s="273">
        <v>39001</v>
      </c>
      <c r="C29" s="274" t="s">
        <v>223</v>
      </c>
      <c r="D29" s="275">
        <v>204086.55</v>
      </c>
      <c r="E29" s="276"/>
      <c r="F29" s="275">
        <v>25629.43</v>
      </c>
      <c r="G29" s="276"/>
      <c r="H29" s="276"/>
      <c r="I29" s="275">
        <v>25466.34</v>
      </c>
    </row>
    <row r="30" spans="1:9" x14ac:dyDescent="0.25">
      <c r="A30" s="273">
        <v>2017</v>
      </c>
      <c r="B30" s="273">
        <v>12002</v>
      </c>
      <c r="C30" s="274" t="s">
        <v>224</v>
      </c>
      <c r="D30" s="275">
        <v>171257.99</v>
      </c>
      <c r="E30" s="276"/>
      <c r="F30" s="275">
        <v>22486.9</v>
      </c>
      <c r="G30" s="276"/>
      <c r="H30" s="275">
        <v>34219.15</v>
      </c>
      <c r="I30" s="275">
        <v>30364.62</v>
      </c>
    </row>
    <row r="31" spans="1:9" x14ac:dyDescent="0.25">
      <c r="A31" s="273">
        <v>2017</v>
      </c>
      <c r="B31" s="273">
        <v>50005</v>
      </c>
      <c r="C31" s="274" t="s">
        <v>225</v>
      </c>
      <c r="D31" s="275">
        <v>45154.93</v>
      </c>
      <c r="E31" s="276"/>
      <c r="F31" s="275">
        <v>37986.58</v>
      </c>
      <c r="G31" s="276"/>
      <c r="H31" s="276"/>
      <c r="I31" s="275">
        <v>7807.6</v>
      </c>
    </row>
    <row r="32" spans="1:9" x14ac:dyDescent="0.25">
      <c r="A32" s="273">
        <v>2017</v>
      </c>
      <c r="B32" s="273">
        <v>59003</v>
      </c>
      <c r="C32" s="274" t="s">
        <v>226</v>
      </c>
      <c r="D32" s="275">
        <v>60106.28</v>
      </c>
      <c r="E32" s="276"/>
      <c r="F32" s="275">
        <v>8636.73</v>
      </c>
      <c r="G32" s="276"/>
      <c r="H32" s="276"/>
      <c r="I32" s="275">
        <v>28726.75</v>
      </c>
    </row>
    <row r="33" spans="1:9" x14ac:dyDescent="0.25">
      <c r="A33" s="273">
        <v>2017</v>
      </c>
      <c r="B33" s="273">
        <v>21003</v>
      </c>
      <c r="C33" s="274" t="s">
        <v>227</v>
      </c>
      <c r="D33" s="275">
        <v>115112.02</v>
      </c>
      <c r="E33" s="276"/>
      <c r="F33" s="275">
        <v>29462.38</v>
      </c>
      <c r="G33" s="276"/>
      <c r="H33" s="276"/>
      <c r="I33" s="275">
        <v>26229.53</v>
      </c>
    </row>
    <row r="34" spans="1:9" x14ac:dyDescent="0.25">
      <c r="A34" s="273">
        <v>2017</v>
      </c>
      <c r="B34" s="273">
        <v>16001</v>
      </c>
      <c r="C34" s="274" t="s">
        <v>228</v>
      </c>
      <c r="D34" s="275">
        <v>303569.48</v>
      </c>
      <c r="E34" s="276"/>
      <c r="F34" s="275">
        <v>60176.17</v>
      </c>
      <c r="G34" s="275">
        <v>10488.77</v>
      </c>
      <c r="H34" s="276"/>
      <c r="I34" s="275">
        <v>28014.79</v>
      </c>
    </row>
    <row r="35" spans="1:9" x14ac:dyDescent="0.25">
      <c r="A35" s="273">
        <v>2017</v>
      </c>
      <c r="B35" s="273">
        <v>61008</v>
      </c>
      <c r="C35" s="274" t="s">
        <v>229</v>
      </c>
      <c r="D35" s="275">
        <v>85091.520000000004</v>
      </c>
      <c r="E35" s="276"/>
      <c r="F35" s="275">
        <v>178981.84</v>
      </c>
      <c r="G35" s="276"/>
      <c r="H35" s="276"/>
      <c r="I35" s="275">
        <v>87271.26</v>
      </c>
    </row>
    <row r="36" spans="1:9" x14ac:dyDescent="0.25">
      <c r="A36" s="273">
        <v>2017</v>
      </c>
      <c r="B36" s="273">
        <v>38002</v>
      </c>
      <c r="C36" s="274" t="s">
        <v>230</v>
      </c>
      <c r="D36" s="275">
        <v>48559.9</v>
      </c>
      <c r="E36" s="276"/>
      <c r="F36" s="275">
        <v>19704.61</v>
      </c>
      <c r="G36" s="275">
        <v>13164.33</v>
      </c>
      <c r="H36" s="276"/>
      <c r="I36" s="275">
        <v>26914.68</v>
      </c>
    </row>
    <row r="37" spans="1:9" x14ac:dyDescent="0.25">
      <c r="A37" s="273">
        <v>2017</v>
      </c>
      <c r="B37" s="273">
        <v>49003</v>
      </c>
      <c r="C37" s="274" t="s">
        <v>231</v>
      </c>
      <c r="D37" s="275">
        <v>178300.16</v>
      </c>
      <c r="E37" s="276"/>
      <c r="F37" s="275">
        <v>43286.57</v>
      </c>
      <c r="G37" s="276"/>
      <c r="H37" s="276"/>
      <c r="I37" s="275">
        <v>139304.54</v>
      </c>
    </row>
    <row r="38" spans="1:9" x14ac:dyDescent="0.25">
      <c r="A38" s="273">
        <v>2017</v>
      </c>
      <c r="B38" s="273">
        <v>5006</v>
      </c>
      <c r="C38" s="274" t="s">
        <v>232</v>
      </c>
      <c r="D38" s="275">
        <v>114671.56</v>
      </c>
      <c r="E38" s="276"/>
      <c r="F38" s="275">
        <v>40122.269999999997</v>
      </c>
      <c r="G38" s="275">
        <v>503.24</v>
      </c>
      <c r="H38" s="275">
        <v>419885.22</v>
      </c>
      <c r="I38" s="275">
        <v>34357.79</v>
      </c>
    </row>
    <row r="39" spans="1:9" x14ac:dyDescent="0.25">
      <c r="A39" s="273">
        <v>2017</v>
      </c>
      <c r="B39" s="273">
        <v>19004</v>
      </c>
      <c r="C39" s="274" t="s">
        <v>233</v>
      </c>
      <c r="D39" s="275">
        <v>224657.69</v>
      </c>
      <c r="E39" s="276"/>
      <c r="F39" s="275">
        <v>58562.58</v>
      </c>
      <c r="G39" s="276"/>
      <c r="H39" s="276"/>
      <c r="I39" s="275">
        <v>14717.86</v>
      </c>
    </row>
    <row r="40" spans="1:9" x14ac:dyDescent="0.25">
      <c r="A40" s="273">
        <v>2017</v>
      </c>
      <c r="B40" s="273">
        <v>56002</v>
      </c>
      <c r="C40" s="274" t="s">
        <v>234</v>
      </c>
      <c r="D40" s="275">
        <v>65004.35</v>
      </c>
      <c r="E40" s="276"/>
      <c r="F40" s="275">
        <v>11550.04</v>
      </c>
      <c r="G40" s="276"/>
      <c r="H40" s="276"/>
      <c r="I40" s="275">
        <v>18939.900000000001</v>
      </c>
    </row>
    <row r="41" spans="1:9" x14ac:dyDescent="0.25">
      <c r="A41" s="273">
        <v>2017</v>
      </c>
      <c r="B41" s="273">
        <v>51001</v>
      </c>
      <c r="C41" s="274" t="s">
        <v>235</v>
      </c>
      <c r="D41" s="275">
        <v>174986.05</v>
      </c>
      <c r="E41" s="276"/>
      <c r="F41" s="275">
        <v>196305.33</v>
      </c>
      <c r="G41" s="276"/>
      <c r="H41" s="276"/>
      <c r="I41" s="275">
        <v>42867.76</v>
      </c>
    </row>
    <row r="42" spans="1:9" x14ac:dyDescent="0.25">
      <c r="A42" s="273">
        <v>2017</v>
      </c>
      <c r="B42" s="273">
        <v>64002</v>
      </c>
      <c r="C42" s="274" t="s">
        <v>236</v>
      </c>
      <c r="D42" s="275">
        <v>30915.52</v>
      </c>
      <c r="E42" s="276"/>
      <c r="F42" s="275">
        <v>5440.78</v>
      </c>
      <c r="G42" s="276"/>
      <c r="H42" s="276"/>
      <c r="I42" s="275">
        <v>209245.21</v>
      </c>
    </row>
    <row r="43" spans="1:9" x14ac:dyDescent="0.25">
      <c r="A43" s="273">
        <v>2017</v>
      </c>
      <c r="B43" s="273">
        <v>20001</v>
      </c>
      <c r="C43" s="274" t="s">
        <v>237</v>
      </c>
      <c r="D43" s="275">
        <v>95643.36</v>
      </c>
      <c r="E43" s="276"/>
      <c r="F43" s="275">
        <v>12571.26</v>
      </c>
      <c r="G43" s="276"/>
      <c r="H43" s="276"/>
      <c r="I43" s="275">
        <v>43455.38</v>
      </c>
    </row>
    <row r="44" spans="1:9" x14ac:dyDescent="0.25">
      <c r="A44" s="273">
        <v>2017</v>
      </c>
      <c r="B44" s="273">
        <v>23001</v>
      </c>
      <c r="C44" s="274" t="s">
        <v>238</v>
      </c>
      <c r="D44" s="275">
        <v>45626.54</v>
      </c>
      <c r="E44" s="276"/>
      <c r="F44" s="275">
        <v>19548.5</v>
      </c>
      <c r="G44" s="275">
        <v>397.46</v>
      </c>
      <c r="H44" s="276"/>
      <c r="I44" s="275">
        <v>7535.15</v>
      </c>
    </row>
    <row r="45" spans="1:9" x14ac:dyDescent="0.25">
      <c r="A45" s="273">
        <v>2017</v>
      </c>
      <c r="B45" s="273">
        <v>22005</v>
      </c>
      <c r="C45" s="274" t="s">
        <v>239</v>
      </c>
      <c r="D45" s="275">
        <v>69422.16</v>
      </c>
      <c r="E45" s="276"/>
      <c r="F45" s="275">
        <v>19946.16</v>
      </c>
      <c r="G45" s="275">
        <v>2577.19</v>
      </c>
      <c r="H45" s="276"/>
      <c r="I45" s="275">
        <v>10316.52</v>
      </c>
    </row>
    <row r="46" spans="1:9" x14ac:dyDescent="0.25">
      <c r="A46" s="273">
        <v>2017</v>
      </c>
      <c r="B46" s="273">
        <v>16002</v>
      </c>
      <c r="C46" s="274" t="s">
        <v>240</v>
      </c>
      <c r="D46" s="275">
        <v>5227.6400000000003</v>
      </c>
      <c r="E46" s="276"/>
      <c r="F46" s="275">
        <v>759.02</v>
      </c>
      <c r="G46" s="276"/>
      <c r="H46" s="276"/>
      <c r="I46" s="275">
        <v>243.46</v>
      </c>
    </row>
    <row r="47" spans="1:9" x14ac:dyDescent="0.25">
      <c r="A47" s="273">
        <v>2017</v>
      </c>
      <c r="B47" s="273">
        <v>61007</v>
      </c>
      <c r="C47" s="274" t="s">
        <v>241</v>
      </c>
      <c r="D47" s="275">
        <v>119226.83</v>
      </c>
      <c r="E47" s="276"/>
      <c r="F47" s="275">
        <v>101228.68</v>
      </c>
      <c r="G47" s="276"/>
      <c r="H47" s="276"/>
      <c r="I47" s="275">
        <v>36777.230000000003</v>
      </c>
    </row>
    <row r="48" spans="1:9" x14ac:dyDescent="0.25">
      <c r="A48" s="273">
        <v>2017</v>
      </c>
      <c r="B48" s="273">
        <v>5003</v>
      </c>
      <c r="C48" s="274" t="s">
        <v>242</v>
      </c>
      <c r="D48" s="275">
        <v>88550.87</v>
      </c>
      <c r="E48" s="276"/>
      <c r="F48" s="275">
        <v>32991.230000000003</v>
      </c>
      <c r="G48" s="276"/>
      <c r="H48" s="275">
        <v>115624.76</v>
      </c>
      <c r="I48" s="275">
        <v>44472.67</v>
      </c>
    </row>
    <row r="49" spans="1:9" x14ac:dyDescent="0.25">
      <c r="A49" s="273">
        <v>2017</v>
      </c>
      <c r="B49" s="273">
        <v>28002</v>
      </c>
      <c r="C49" s="274" t="s">
        <v>243</v>
      </c>
      <c r="D49" s="275">
        <v>99672.05</v>
      </c>
      <c r="E49" s="276"/>
      <c r="F49" s="275">
        <v>15537.4</v>
      </c>
      <c r="G49" s="275">
        <v>112.75</v>
      </c>
      <c r="H49" s="276"/>
      <c r="I49" s="275">
        <v>14477.8</v>
      </c>
    </row>
    <row r="50" spans="1:9" x14ac:dyDescent="0.25">
      <c r="A50" s="273">
        <v>2017</v>
      </c>
      <c r="B50" s="273">
        <v>17001</v>
      </c>
      <c r="C50" s="274" t="s">
        <v>244</v>
      </c>
      <c r="D50" s="275">
        <v>37468.559999999998</v>
      </c>
      <c r="E50" s="276"/>
      <c r="F50" s="275">
        <v>13485.97</v>
      </c>
      <c r="G50" s="276"/>
      <c r="H50" s="276"/>
      <c r="I50" s="275">
        <v>6974.85</v>
      </c>
    </row>
    <row r="51" spans="1:9" x14ac:dyDescent="0.25">
      <c r="A51" s="273">
        <v>2017</v>
      </c>
      <c r="B51" s="273">
        <v>44001</v>
      </c>
      <c r="C51" s="274" t="s">
        <v>245</v>
      </c>
      <c r="D51" s="275">
        <v>89504.6</v>
      </c>
      <c r="E51" s="276"/>
      <c r="F51" s="275">
        <v>9090.99</v>
      </c>
      <c r="G51" s="275">
        <v>1052.01</v>
      </c>
      <c r="H51" s="276"/>
      <c r="I51" s="275">
        <v>16936.759999999998</v>
      </c>
    </row>
    <row r="52" spans="1:9" x14ac:dyDescent="0.25">
      <c r="A52" s="273">
        <v>2017</v>
      </c>
      <c r="B52" s="273">
        <v>46002</v>
      </c>
      <c r="C52" s="274" t="s">
        <v>246</v>
      </c>
      <c r="D52" s="275">
        <v>23108.13</v>
      </c>
      <c r="E52" s="276"/>
      <c r="F52" s="275">
        <v>18551.66</v>
      </c>
      <c r="G52" s="276"/>
      <c r="H52" s="276"/>
      <c r="I52" s="275">
        <v>34300.01</v>
      </c>
    </row>
    <row r="53" spans="1:9" x14ac:dyDescent="0.25">
      <c r="A53" s="273">
        <v>2017</v>
      </c>
      <c r="B53" s="273">
        <v>24004</v>
      </c>
      <c r="C53" s="274" t="s">
        <v>374</v>
      </c>
      <c r="D53" s="275">
        <v>114026.99</v>
      </c>
      <c r="E53" s="276"/>
      <c r="F53" s="275">
        <v>18304.37</v>
      </c>
      <c r="G53" s="276"/>
      <c r="H53" s="276"/>
      <c r="I53" s="275">
        <v>21689.53</v>
      </c>
    </row>
    <row r="54" spans="1:9" x14ac:dyDescent="0.25">
      <c r="A54" s="273">
        <v>2017</v>
      </c>
      <c r="B54" s="273">
        <v>50003</v>
      </c>
      <c r="C54" s="274" t="s">
        <v>248</v>
      </c>
      <c r="D54" s="275">
        <v>93974.46</v>
      </c>
      <c r="E54" s="276"/>
      <c r="F54" s="275">
        <v>102471.26</v>
      </c>
      <c r="G54" s="276"/>
      <c r="H54" s="276"/>
      <c r="I54" s="275">
        <v>13702.44</v>
      </c>
    </row>
    <row r="55" spans="1:9" x14ac:dyDescent="0.25">
      <c r="A55" s="273">
        <v>2017</v>
      </c>
      <c r="B55" s="273">
        <v>14001</v>
      </c>
      <c r="C55" s="274" t="s">
        <v>249</v>
      </c>
      <c r="D55" s="275">
        <v>38805.24</v>
      </c>
      <c r="E55" s="276"/>
      <c r="F55" s="275">
        <v>13503.04</v>
      </c>
      <c r="G55" s="276"/>
      <c r="H55" s="276"/>
      <c r="I55" s="275">
        <v>25133.37</v>
      </c>
    </row>
    <row r="56" spans="1:9" x14ac:dyDescent="0.25">
      <c r="A56" s="273">
        <v>2017</v>
      </c>
      <c r="B56" s="273">
        <v>6002</v>
      </c>
      <c r="C56" s="274" t="s">
        <v>250</v>
      </c>
      <c r="D56" s="275">
        <v>46630.17</v>
      </c>
      <c r="E56" s="276"/>
      <c r="F56" s="275">
        <v>11556.63</v>
      </c>
      <c r="G56" s="276"/>
      <c r="H56" s="276"/>
      <c r="I56" s="275">
        <v>23532.799999999999</v>
      </c>
    </row>
    <row r="57" spans="1:9" x14ac:dyDescent="0.25">
      <c r="A57" s="273">
        <v>2017</v>
      </c>
      <c r="B57" s="273">
        <v>33001</v>
      </c>
      <c r="C57" s="274" t="s">
        <v>251</v>
      </c>
      <c r="D57" s="275">
        <v>146059.07</v>
      </c>
      <c r="E57" s="276"/>
      <c r="F57" s="275">
        <v>9447.42</v>
      </c>
      <c r="G57" s="275">
        <v>658.46</v>
      </c>
      <c r="H57" s="276"/>
      <c r="I57" s="275">
        <v>28021.46</v>
      </c>
    </row>
    <row r="58" spans="1:9" x14ac:dyDescent="0.25">
      <c r="A58" s="273">
        <v>2017</v>
      </c>
      <c r="B58" s="273">
        <v>49004</v>
      </c>
      <c r="C58" s="274" t="s">
        <v>252</v>
      </c>
      <c r="D58" s="275">
        <v>96182.39</v>
      </c>
      <c r="E58" s="276"/>
      <c r="F58" s="275">
        <v>19117.63</v>
      </c>
      <c r="G58" s="276"/>
      <c r="H58" s="276"/>
      <c r="I58" s="275">
        <v>77091.19</v>
      </c>
    </row>
    <row r="59" spans="1:9" x14ac:dyDescent="0.25">
      <c r="A59" s="273">
        <v>2017</v>
      </c>
      <c r="B59" s="273">
        <v>63001</v>
      </c>
      <c r="C59" s="274" t="s">
        <v>253</v>
      </c>
      <c r="D59" s="275">
        <v>32155.06</v>
      </c>
      <c r="E59" s="276"/>
      <c r="F59" s="275">
        <v>25433.98</v>
      </c>
      <c r="G59" s="276"/>
      <c r="H59" s="276"/>
      <c r="I59" s="275">
        <v>20883.98</v>
      </c>
    </row>
    <row r="60" spans="1:9" x14ac:dyDescent="0.25">
      <c r="A60" s="273">
        <v>2017</v>
      </c>
      <c r="B60" s="273">
        <v>53001</v>
      </c>
      <c r="C60" s="274" t="s">
        <v>254</v>
      </c>
      <c r="D60" s="275">
        <v>77102.850000000006</v>
      </c>
      <c r="E60" s="276"/>
      <c r="F60" s="275">
        <v>13921.14</v>
      </c>
      <c r="G60" s="276"/>
      <c r="H60" s="276"/>
      <c r="I60" s="275">
        <v>59757</v>
      </c>
    </row>
    <row r="61" spans="1:9" x14ac:dyDescent="0.25">
      <c r="A61" s="273">
        <v>2017</v>
      </c>
      <c r="B61" s="273">
        <v>25003</v>
      </c>
      <c r="C61" s="274" t="s">
        <v>348</v>
      </c>
      <c r="D61" s="275">
        <v>48668.66</v>
      </c>
      <c r="E61" s="276"/>
      <c r="F61" s="275">
        <v>7228.71</v>
      </c>
      <c r="G61" s="275">
        <v>408.86</v>
      </c>
      <c r="H61" s="276"/>
      <c r="I61" s="275">
        <v>15504.1</v>
      </c>
    </row>
    <row r="62" spans="1:9" x14ac:dyDescent="0.25">
      <c r="A62" s="273">
        <v>2017</v>
      </c>
      <c r="B62" s="273">
        <v>26004</v>
      </c>
      <c r="C62" s="274" t="s">
        <v>255</v>
      </c>
      <c r="D62" s="275">
        <v>142188.1</v>
      </c>
      <c r="E62" s="276"/>
      <c r="F62" s="275">
        <v>18000.150000000001</v>
      </c>
      <c r="G62" s="276"/>
      <c r="H62" s="276"/>
      <c r="I62" s="275">
        <v>33116.53</v>
      </c>
    </row>
    <row r="63" spans="1:9" x14ac:dyDescent="0.25">
      <c r="A63" s="273">
        <v>2017</v>
      </c>
      <c r="B63" s="273">
        <v>6006</v>
      </c>
      <c r="C63" s="274" t="s">
        <v>256</v>
      </c>
      <c r="D63" s="275">
        <v>567852.84</v>
      </c>
      <c r="E63" s="276"/>
      <c r="F63" s="275">
        <v>44271.13</v>
      </c>
      <c r="G63" s="275">
        <v>464.51</v>
      </c>
      <c r="H63" s="275">
        <v>177551.3</v>
      </c>
      <c r="I63" s="275">
        <v>59423.61</v>
      </c>
    </row>
    <row r="64" spans="1:9" x14ac:dyDescent="0.25">
      <c r="A64" s="273">
        <v>2017</v>
      </c>
      <c r="B64" s="273">
        <v>27001</v>
      </c>
      <c r="C64" s="274" t="s">
        <v>257</v>
      </c>
      <c r="D64" s="275">
        <v>121809.04</v>
      </c>
      <c r="E64" s="276"/>
      <c r="F64" s="275">
        <v>19317.36</v>
      </c>
      <c r="G64" s="276"/>
      <c r="H64" s="276"/>
      <c r="I64" s="275">
        <v>66406.95</v>
      </c>
    </row>
    <row r="65" spans="1:9" x14ac:dyDescent="0.25">
      <c r="A65" s="273">
        <v>2017</v>
      </c>
      <c r="B65" s="273">
        <v>28003</v>
      </c>
      <c r="C65" s="274" t="s">
        <v>258</v>
      </c>
      <c r="D65" s="275">
        <v>163464.87</v>
      </c>
      <c r="E65" s="276"/>
      <c r="F65" s="275">
        <v>44062.93</v>
      </c>
      <c r="G65" s="275">
        <v>4006.27</v>
      </c>
      <c r="H65" s="276"/>
      <c r="I65" s="275">
        <v>35720.47</v>
      </c>
    </row>
    <row r="66" spans="1:9" x14ac:dyDescent="0.25">
      <c r="A66" s="273">
        <v>2017</v>
      </c>
      <c r="B66" s="273">
        <v>30001</v>
      </c>
      <c r="C66" s="274" t="s">
        <v>259</v>
      </c>
      <c r="D66" s="275">
        <v>89157.79</v>
      </c>
      <c r="E66" s="276"/>
      <c r="F66" s="275">
        <v>27522.6</v>
      </c>
      <c r="G66" s="275">
        <v>2267.71</v>
      </c>
      <c r="H66" s="276"/>
      <c r="I66" s="275">
        <v>10955.71</v>
      </c>
    </row>
    <row r="67" spans="1:9" x14ac:dyDescent="0.25">
      <c r="A67" s="273">
        <v>2017</v>
      </c>
      <c r="B67" s="273">
        <v>31001</v>
      </c>
      <c r="C67" s="274" t="s">
        <v>260</v>
      </c>
      <c r="D67" s="275">
        <v>166704.42000000001</v>
      </c>
      <c r="E67" s="276"/>
      <c r="F67" s="275">
        <v>21507.26</v>
      </c>
      <c r="G67" s="276"/>
      <c r="H67" s="276"/>
      <c r="I67" s="275">
        <v>19115.75</v>
      </c>
    </row>
    <row r="68" spans="1:9" x14ac:dyDescent="0.25">
      <c r="A68" s="273">
        <v>2017</v>
      </c>
      <c r="B68" s="273">
        <v>41002</v>
      </c>
      <c r="C68" s="274" t="s">
        <v>261</v>
      </c>
      <c r="D68" s="275">
        <v>223332.54</v>
      </c>
      <c r="E68" s="276"/>
      <c r="F68" s="275">
        <v>143341.35</v>
      </c>
      <c r="G68" s="276"/>
      <c r="H68" s="276"/>
      <c r="I68" s="275">
        <v>170047.17</v>
      </c>
    </row>
    <row r="69" spans="1:9" x14ac:dyDescent="0.25">
      <c r="A69" s="273">
        <v>2017</v>
      </c>
      <c r="B69" s="273">
        <v>14002</v>
      </c>
      <c r="C69" s="274" t="s">
        <v>262</v>
      </c>
      <c r="D69" s="275">
        <v>22244.06</v>
      </c>
      <c r="E69" s="276"/>
      <c r="F69" s="275">
        <v>10935.73</v>
      </c>
      <c r="G69" s="276"/>
      <c r="H69" s="276"/>
      <c r="I69" s="275">
        <v>14118.33</v>
      </c>
    </row>
    <row r="70" spans="1:9" x14ac:dyDescent="0.25">
      <c r="A70" s="273">
        <v>2017</v>
      </c>
      <c r="B70" s="273">
        <v>10001</v>
      </c>
      <c r="C70" s="274" t="s">
        <v>263</v>
      </c>
      <c r="D70" s="275">
        <v>59460.37</v>
      </c>
      <c r="E70" s="276"/>
      <c r="F70" s="275">
        <v>13101.85</v>
      </c>
      <c r="G70" s="276"/>
      <c r="H70" s="276"/>
      <c r="I70" s="275">
        <v>25907.439999999999</v>
      </c>
    </row>
    <row r="71" spans="1:9" x14ac:dyDescent="0.25">
      <c r="A71" s="273">
        <v>2017</v>
      </c>
      <c r="B71" s="273">
        <v>34002</v>
      </c>
      <c r="C71" s="274" t="s">
        <v>264</v>
      </c>
      <c r="D71" s="275">
        <v>139133.18</v>
      </c>
      <c r="E71" s="276"/>
      <c r="F71" s="275">
        <v>21678.55</v>
      </c>
      <c r="G71" s="276"/>
      <c r="H71" s="276"/>
      <c r="I71" s="275">
        <v>38068.78</v>
      </c>
    </row>
    <row r="72" spans="1:9" x14ac:dyDescent="0.25">
      <c r="A72" s="273">
        <v>2017</v>
      </c>
      <c r="B72" s="273">
        <v>51002</v>
      </c>
      <c r="C72" s="274" t="s">
        <v>265</v>
      </c>
      <c r="D72" s="275">
        <v>98905.05</v>
      </c>
      <c r="E72" s="276"/>
      <c r="F72" s="275">
        <v>24407.57</v>
      </c>
      <c r="G72" s="275">
        <v>5104.78</v>
      </c>
      <c r="H72" s="276"/>
      <c r="I72" s="275">
        <v>47884.4</v>
      </c>
    </row>
    <row r="73" spans="1:9" x14ac:dyDescent="0.25">
      <c r="A73" s="273">
        <v>2017</v>
      </c>
      <c r="B73" s="273">
        <v>56006</v>
      </c>
      <c r="C73" s="274" t="s">
        <v>266</v>
      </c>
      <c r="D73" s="275">
        <v>94772.77</v>
      </c>
      <c r="E73" s="276"/>
      <c r="F73" s="275">
        <v>14880.96</v>
      </c>
      <c r="G73" s="276"/>
      <c r="H73" s="276"/>
      <c r="I73" s="275">
        <v>24990.16</v>
      </c>
    </row>
    <row r="74" spans="1:9" x14ac:dyDescent="0.25">
      <c r="A74" s="273">
        <v>2017</v>
      </c>
      <c r="B74" s="273">
        <v>23002</v>
      </c>
      <c r="C74" s="274" t="s">
        <v>267</v>
      </c>
      <c r="D74" s="275">
        <v>266963.86</v>
      </c>
      <c r="E74" s="276"/>
      <c r="F74" s="275">
        <v>105373.05</v>
      </c>
      <c r="G74" s="275">
        <v>24789.97</v>
      </c>
      <c r="H74" s="276"/>
      <c r="I74" s="275">
        <v>35257.9</v>
      </c>
    </row>
    <row r="75" spans="1:9" x14ac:dyDescent="0.25">
      <c r="A75" s="273">
        <v>2017</v>
      </c>
      <c r="B75" s="273">
        <v>53002</v>
      </c>
      <c r="C75" s="274" t="s">
        <v>268</v>
      </c>
      <c r="D75" s="275">
        <v>71202.66</v>
      </c>
      <c r="E75" s="276"/>
      <c r="F75" s="275">
        <v>10276.74</v>
      </c>
      <c r="G75" s="275">
        <v>304.63</v>
      </c>
      <c r="H75" s="276"/>
      <c r="I75" s="275">
        <v>57507.360000000001</v>
      </c>
    </row>
    <row r="76" spans="1:9" x14ac:dyDescent="0.25">
      <c r="A76" s="273">
        <v>2017</v>
      </c>
      <c r="B76" s="273">
        <v>48003</v>
      </c>
      <c r="C76" s="274" t="s">
        <v>269</v>
      </c>
      <c r="D76" s="275">
        <v>330757.33</v>
      </c>
      <c r="E76" s="275">
        <v>1688.8</v>
      </c>
      <c r="F76" s="275">
        <v>9560.84</v>
      </c>
      <c r="G76" s="275">
        <v>3215.92</v>
      </c>
      <c r="H76" s="276"/>
      <c r="I76" s="275">
        <v>10381.14</v>
      </c>
    </row>
    <row r="77" spans="1:9" x14ac:dyDescent="0.25">
      <c r="A77" s="273">
        <v>2017</v>
      </c>
      <c r="B77" s="273">
        <v>2002</v>
      </c>
      <c r="C77" s="274" t="s">
        <v>270</v>
      </c>
      <c r="D77" s="275">
        <v>425728.93</v>
      </c>
      <c r="E77" s="275">
        <v>7372.81</v>
      </c>
      <c r="F77" s="275">
        <v>234324.47</v>
      </c>
      <c r="G77" s="276"/>
      <c r="H77" s="276"/>
      <c r="I77" s="275">
        <v>124983.35</v>
      </c>
    </row>
    <row r="78" spans="1:9" x14ac:dyDescent="0.25">
      <c r="A78" s="273">
        <v>2017</v>
      </c>
      <c r="B78" s="273">
        <v>22006</v>
      </c>
      <c r="C78" s="274" t="s">
        <v>271</v>
      </c>
      <c r="D78" s="275">
        <v>399272.23</v>
      </c>
      <c r="E78" s="276"/>
      <c r="F78" s="275">
        <v>59500.82</v>
      </c>
      <c r="G78" s="276"/>
      <c r="H78" s="276"/>
      <c r="I78" s="275">
        <v>18855.41</v>
      </c>
    </row>
    <row r="79" spans="1:9" x14ac:dyDescent="0.25">
      <c r="A79" s="273">
        <v>2017</v>
      </c>
      <c r="B79" s="273">
        <v>13003</v>
      </c>
      <c r="C79" s="274" t="s">
        <v>272</v>
      </c>
      <c r="D79" s="275">
        <v>84232.75</v>
      </c>
      <c r="E79" s="276"/>
      <c r="F79" s="275">
        <v>32663.78</v>
      </c>
      <c r="G79" s="276"/>
      <c r="H79" s="276"/>
      <c r="I79" s="275">
        <v>37590.83</v>
      </c>
    </row>
    <row r="80" spans="1:9" x14ac:dyDescent="0.25">
      <c r="A80" s="273">
        <v>2017</v>
      </c>
      <c r="B80" s="273">
        <v>2003</v>
      </c>
      <c r="C80" s="274" t="s">
        <v>273</v>
      </c>
      <c r="D80" s="275">
        <v>47188.39</v>
      </c>
      <c r="E80" s="276"/>
      <c r="F80" s="275">
        <v>16550.45</v>
      </c>
      <c r="G80" s="276"/>
      <c r="H80" s="276"/>
      <c r="I80" s="275">
        <v>29940.95</v>
      </c>
    </row>
    <row r="81" spans="1:9" x14ac:dyDescent="0.25">
      <c r="A81" s="273">
        <v>2017</v>
      </c>
      <c r="B81" s="273">
        <v>37003</v>
      </c>
      <c r="C81" s="274" t="s">
        <v>274</v>
      </c>
      <c r="D81" s="275">
        <v>103590.96</v>
      </c>
      <c r="E81" s="276"/>
      <c r="F81" s="275">
        <v>26390.41</v>
      </c>
      <c r="G81" s="276"/>
      <c r="H81" s="276"/>
      <c r="I81" s="275">
        <v>21595.58</v>
      </c>
    </row>
    <row r="82" spans="1:9" x14ac:dyDescent="0.25">
      <c r="A82" s="273">
        <v>2017</v>
      </c>
      <c r="B82" s="273">
        <v>35002</v>
      </c>
      <c r="C82" s="274" t="s">
        <v>275</v>
      </c>
      <c r="D82" s="275">
        <v>167442.44</v>
      </c>
      <c r="E82" s="276"/>
      <c r="F82" s="275">
        <v>32841.1</v>
      </c>
      <c r="G82" s="276"/>
      <c r="H82" s="276"/>
      <c r="I82" s="275">
        <v>21987.03</v>
      </c>
    </row>
    <row r="83" spans="1:9" x14ac:dyDescent="0.25">
      <c r="A83" s="273">
        <v>2017</v>
      </c>
      <c r="B83" s="273">
        <v>7002</v>
      </c>
      <c r="C83" s="274" t="s">
        <v>276</v>
      </c>
      <c r="D83" s="275">
        <v>90425.83</v>
      </c>
      <c r="E83" s="276"/>
      <c r="F83" s="275">
        <v>14894.83</v>
      </c>
      <c r="G83" s="276"/>
      <c r="H83" s="275">
        <v>66140.600000000006</v>
      </c>
      <c r="I83" s="275">
        <v>42723.59</v>
      </c>
    </row>
    <row r="84" spans="1:9" x14ac:dyDescent="0.25">
      <c r="A84" s="273">
        <v>2017</v>
      </c>
      <c r="B84" s="273">
        <v>38003</v>
      </c>
      <c r="C84" s="274" t="s">
        <v>277</v>
      </c>
      <c r="D84" s="275">
        <v>38798.69</v>
      </c>
      <c r="E84" s="276"/>
      <c r="F84" s="275">
        <v>12262.25</v>
      </c>
      <c r="G84" s="275">
        <v>6214.19</v>
      </c>
      <c r="H84" s="276"/>
      <c r="I84" s="275">
        <v>22914.66</v>
      </c>
    </row>
    <row r="85" spans="1:9" x14ac:dyDescent="0.25">
      <c r="A85" s="273">
        <v>2017</v>
      </c>
      <c r="B85" s="273">
        <v>45005</v>
      </c>
      <c r="C85" s="274" t="s">
        <v>278</v>
      </c>
      <c r="D85" s="275">
        <v>76210.259999999995</v>
      </c>
      <c r="E85" s="276"/>
      <c r="F85" s="275">
        <v>18581.78</v>
      </c>
      <c r="G85" s="276"/>
      <c r="H85" s="276"/>
      <c r="I85" s="275">
        <v>16798.32</v>
      </c>
    </row>
    <row r="86" spans="1:9" x14ac:dyDescent="0.25">
      <c r="A86" s="273">
        <v>2017</v>
      </c>
      <c r="B86" s="273">
        <v>40001</v>
      </c>
      <c r="C86" s="274" t="s">
        <v>279</v>
      </c>
      <c r="D86" s="275">
        <v>97746.46</v>
      </c>
      <c r="E86" s="276"/>
      <c r="F86" s="275">
        <v>107818.76</v>
      </c>
      <c r="G86" s="276"/>
      <c r="H86" s="276"/>
      <c r="I86" s="275">
        <v>71846.38</v>
      </c>
    </row>
    <row r="87" spans="1:9" x14ac:dyDescent="0.25">
      <c r="A87" s="273">
        <v>2017</v>
      </c>
      <c r="B87" s="273">
        <v>52004</v>
      </c>
      <c r="C87" s="274" t="s">
        <v>280</v>
      </c>
      <c r="D87" s="275">
        <v>146687.45000000001</v>
      </c>
      <c r="E87" s="276"/>
      <c r="F87" s="275">
        <v>16384.32</v>
      </c>
      <c r="G87" s="275">
        <v>3042.57</v>
      </c>
      <c r="H87" s="276"/>
      <c r="I87" s="275">
        <v>59831.199999999997</v>
      </c>
    </row>
    <row r="88" spans="1:9" x14ac:dyDescent="0.25">
      <c r="A88" s="273">
        <v>2017</v>
      </c>
      <c r="B88" s="273">
        <v>41004</v>
      </c>
      <c r="C88" s="274" t="s">
        <v>281</v>
      </c>
      <c r="D88" s="275">
        <v>430743.64</v>
      </c>
      <c r="E88" s="276"/>
      <c r="F88" s="275">
        <v>43091.45</v>
      </c>
      <c r="G88" s="276"/>
      <c r="H88" s="276"/>
      <c r="I88" s="275">
        <v>42284.68</v>
      </c>
    </row>
    <row r="89" spans="1:9" x14ac:dyDescent="0.25">
      <c r="A89" s="273">
        <v>2017</v>
      </c>
      <c r="B89" s="273">
        <v>44002</v>
      </c>
      <c r="C89" s="274" t="s">
        <v>282</v>
      </c>
      <c r="D89" s="275">
        <v>91578.240000000005</v>
      </c>
      <c r="E89" s="276"/>
      <c r="F89" s="275">
        <v>15724.9</v>
      </c>
      <c r="G89" s="275">
        <v>301.39999999999998</v>
      </c>
      <c r="H89" s="275">
        <v>153239.6</v>
      </c>
      <c r="I89" s="275">
        <v>13188.75</v>
      </c>
    </row>
    <row r="90" spans="1:9" x14ac:dyDescent="0.25">
      <c r="A90" s="273">
        <v>2017</v>
      </c>
      <c r="B90" s="273">
        <v>42001</v>
      </c>
      <c r="C90" s="274" t="s">
        <v>283</v>
      </c>
      <c r="D90" s="275">
        <v>261591.82</v>
      </c>
      <c r="E90" s="276"/>
      <c r="F90" s="275">
        <v>80469.22</v>
      </c>
      <c r="G90" s="276"/>
      <c r="H90" s="276"/>
      <c r="I90" s="275">
        <v>20841.18</v>
      </c>
    </row>
    <row r="91" spans="1:9" x14ac:dyDescent="0.25">
      <c r="A91" s="273">
        <v>2017</v>
      </c>
      <c r="B91" s="273">
        <v>39002</v>
      </c>
      <c r="C91" s="274" t="s">
        <v>284</v>
      </c>
      <c r="D91" s="275">
        <v>166037.74</v>
      </c>
      <c r="E91" s="276"/>
      <c r="F91" s="275">
        <v>99404.46</v>
      </c>
      <c r="G91" s="275">
        <v>9690.2199999999993</v>
      </c>
      <c r="H91" s="276"/>
      <c r="I91" s="275">
        <v>61065.83</v>
      </c>
    </row>
    <row r="92" spans="1:9" x14ac:dyDescent="0.25">
      <c r="A92" s="273">
        <v>2017</v>
      </c>
      <c r="B92" s="273">
        <v>60003</v>
      </c>
      <c r="C92" s="274" t="s">
        <v>285</v>
      </c>
      <c r="D92" s="275">
        <v>301832.2</v>
      </c>
      <c r="E92" s="276"/>
      <c r="F92" s="275">
        <v>14747.22</v>
      </c>
      <c r="G92" s="275">
        <v>1685.28</v>
      </c>
      <c r="H92" s="276"/>
      <c r="I92" s="275">
        <v>5781.03</v>
      </c>
    </row>
    <row r="93" spans="1:9" x14ac:dyDescent="0.25">
      <c r="A93" s="273">
        <v>2017</v>
      </c>
      <c r="B93" s="273">
        <v>43007</v>
      </c>
      <c r="C93" s="274" t="s">
        <v>286</v>
      </c>
      <c r="D93" s="275">
        <v>131190.46</v>
      </c>
      <c r="E93" s="276"/>
      <c r="F93" s="275">
        <v>35872.620000000003</v>
      </c>
      <c r="G93" s="276"/>
      <c r="H93" s="276"/>
      <c r="I93" s="275">
        <v>11329.8</v>
      </c>
    </row>
    <row r="94" spans="1:9" x14ac:dyDescent="0.25">
      <c r="A94" s="273">
        <v>2017</v>
      </c>
      <c r="B94" s="273">
        <v>15001</v>
      </c>
      <c r="C94" s="274" t="s">
        <v>287</v>
      </c>
      <c r="D94" s="275">
        <v>28005.03</v>
      </c>
      <c r="E94" s="276"/>
      <c r="F94" s="275">
        <v>3588.24</v>
      </c>
      <c r="G94" s="276"/>
      <c r="H94" s="276"/>
      <c r="I94" s="275">
        <v>10966.2</v>
      </c>
    </row>
    <row r="95" spans="1:9" x14ac:dyDescent="0.25">
      <c r="A95" s="273">
        <v>2017</v>
      </c>
      <c r="B95" s="273">
        <v>15002</v>
      </c>
      <c r="C95" s="274" t="s">
        <v>288</v>
      </c>
      <c r="D95" s="275">
        <v>75114.52</v>
      </c>
      <c r="E95" s="276"/>
      <c r="F95" s="275">
        <v>30357.22</v>
      </c>
      <c r="G95" s="276"/>
      <c r="H95" s="276"/>
      <c r="I95" s="275">
        <v>15678.79</v>
      </c>
    </row>
    <row r="96" spans="1:9" x14ac:dyDescent="0.25">
      <c r="A96" s="273">
        <v>2017</v>
      </c>
      <c r="B96" s="273">
        <v>46001</v>
      </c>
      <c r="C96" s="274" t="s">
        <v>289</v>
      </c>
      <c r="D96" s="275">
        <v>255588.68</v>
      </c>
      <c r="E96" s="276"/>
      <c r="F96" s="275">
        <v>393352.8</v>
      </c>
      <c r="G96" s="276"/>
      <c r="H96" s="276"/>
      <c r="I96" s="275">
        <v>74386.73</v>
      </c>
    </row>
    <row r="97" spans="1:9" x14ac:dyDescent="0.25">
      <c r="A97" s="273">
        <v>2017</v>
      </c>
      <c r="B97" s="273">
        <v>33002</v>
      </c>
      <c r="C97" s="274" t="s">
        <v>290</v>
      </c>
      <c r="D97" s="275">
        <v>309757.28000000003</v>
      </c>
      <c r="E97" s="276"/>
      <c r="F97" s="275">
        <v>11167.18</v>
      </c>
      <c r="G97" s="276"/>
      <c r="H97" s="276"/>
      <c r="I97" s="275">
        <v>24211.08</v>
      </c>
    </row>
    <row r="98" spans="1:9" x14ac:dyDescent="0.25">
      <c r="A98" s="273">
        <v>2017</v>
      </c>
      <c r="B98" s="273">
        <v>25004</v>
      </c>
      <c r="C98" s="274" t="s">
        <v>291</v>
      </c>
      <c r="D98" s="275">
        <v>231191.1</v>
      </c>
      <c r="E98" s="276"/>
      <c r="F98" s="275">
        <v>57700.14</v>
      </c>
      <c r="G98" s="276"/>
      <c r="H98" s="276"/>
      <c r="I98" s="275">
        <v>61128.42</v>
      </c>
    </row>
    <row r="99" spans="1:9" x14ac:dyDescent="0.25">
      <c r="A99" s="273">
        <v>2017</v>
      </c>
      <c r="B99" s="273">
        <v>29004</v>
      </c>
      <c r="C99" s="274" t="s">
        <v>292</v>
      </c>
      <c r="D99" s="275">
        <v>135740.96</v>
      </c>
      <c r="E99" s="275">
        <v>3507.43</v>
      </c>
      <c r="F99" s="275">
        <v>46074.2</v>
      </c>
      <c r="G99" s="276"/>
      <c r="H99" s="275">
        <v>43919.6</v>
      </c>
      <c r="I99" s="275">
        <v>40819.83</v>
      </c>
    </row>
    <row r="100" spans="1:9" x14ac:dyDescent="0.25">
      <c r="A100" s="273">
        <v>2017</v>
      </c>
      <c r="B100" s="273">
        <v>17002</v>
      </c>
      <c r="C100" s="274" t="s">
        <v>293</v>
      </c>
      <c r="D100" s="275">
        <v>480295.38</v>
      </c>
      <c r="E100" s="276"/>
      <c r="F100" s="275">
        <v>225887.73</v>
      </c>
      <c r="G100" s="276"/>
      <c r="H100" s="276"/>
      <c r="I100" s="275">
        <v>91536.55</v>
      </c>
    </row>
    <row r="101" spans="1:9" x14ac:dyDescent="0.25">
      <c r="A101" s="273">
        <v>2017</v>
      </c>
      <c r="B101" s="273">
        <v>62006</v>
      </c>
      <c r="C101" s="274" t="s">
        <v>294</v>
      </c>
      <c r="D101" s="275">
        <v>152216.29</v>
      </c>
      <c r="E101" s="276"/>
      <c r="F101" s="275">
        <v>56656.27</v>
      </c>
      <c r="G101" s="276"/>
      <c r="H101" s="275">
        <v>159358.59</v>
      </c>
      <c r="I101" s="275">
        <v>65676.83</v>
      </c>
    </row>
    <row r="102" spans="1:9" x14ac:dyDescent="0.25">
      <c r="A102" s="273">
        <v>2017</v>
      </c>
      <c r="B102" s="273">
        <v>43002</v>
      </c>
      <c r="C102" s="274" t="s">
        <v>295</v>
      </c>
      <c r="D102" s="275">
        <v>62701.77</v>
      </c>
      <c r="E102" s="276"/>
      <c r="F102" s="275">
        <v>20800.02</v>
      </c>
      <c r="G102" s="276"/>
      <c r="H102" s="276"/>
      <c r="I102" s="275">
        <v>10341.280000000001</v>
      </c>
    </row>
    <row r="103" spans="1:9" x14ac:dyDescent="0.25">
      <c r="A103" s="273">
        <v>2017</v>
      </c>
      <c r="B103" s="273">
        <v>17003</v>
      </c>
      <c r="C103" s="274" t="s">
        <v>296</v>
      </c>
      <c r="D103" s="275">
        <v>53073.09</v>
      </c>
      <c r="E103" s="276"/>
      <c r="F103" s="275">
        <v>12924.52</v>
      </c>
      <c r="G103" s="276"/>
      <c r="H103" s="276"/>
      <c r="I103" s="275">
        <v>11653.22</v>
      </c>
    </row>
    <row r="104" spans="1:9" x14ac:dyDescent="0.25">
      <c r="A104" s="273">
        <v>2017</v>
      </c>
      <c r="B104" s="273">
        <v>51003</v>
      </c>
      <c r="C104" s="274" t="s">
        <v>297</v>
      </c>
      <c r="D104" s="275">
        <v>48782.080000000002</v>
      </c>
      <c r="E104" s="276"/>
      <c r="F104" s="275">
        <v>9103.8799999999992</v>
      </c>
      <c r="G104" s="275">
        <v>1145.32</v>
      </c>
      <c r="H104" s="276"/>
      <c r="I104" s="275">
        <v>8605.7099999999991</v>
      </c>
    </row>
    <row r="105" spans="1:9" x14ac:dyDescent="0.25">
      <c r="A105" s="273">
        <v>2017</v>
      </c>
      <c r="B105" s="273">
        <v>9002</v>
      </c>
      <c r="C105" s="274" t="s">
        <v>298</v>
      </c>
      <c r="D105" s="275">
        <v>120299.36</v>
      </c>
      <c r="E105" s="276"/>
      <c r="F105" s="275">
        <v>33393.83</v>
      </c>
      <c r="G105" s="276"/>
      <c r="H105" s="276"/>
      <c r="I105" s="275">
        <v>25841.040000000001</v>
      </c>
    </row>
    <row r="106" spans="1:9" x14ac:dyDescent="0.25">
      <c r="A106" s="273">
        <v>2017</v>
      </c>
      <c r="B106" s="273">
        <v>56007</v>
      </c>
      <c r="C106" s="274" t="s">
        <v>299</v>
      </c>
      <c r="D106" s="275">
        <v>79617.58</v>
      </c>
      <c r="E106" s="276"/>
      <c r="F106" s="275">
        <v>17478.419999999998</v>
      </c>
      <c r="G106" s="275">
        <v>2391.63</v>
      </c>
      <c r="H106" s="276"/>
      <c r="I106" s="275">
        <v>19931.169999999998</v>
      </c>
    </row>
    <row r="107" spans="1:9" x14ac:dyDescent="0.25">
      <c r="A107" s="273">
        <v>2017</v>
      </c>
      <c r="B107" s="273">
        <v>23003</v>
      </c>
      <c r="C107" s="274" t="s">
        <v>300</v>
      </c>
      <c r="D107" s="275">
        <v>18013.78</v>
      </c>
      <c r="E107" s="276"/>
      <c r="F107" s="275">
        <v>3567</v>
      </c>
      <c r="G107" s="276"/>
      <c r="H107" s="276"/>
      <c r="I107" s="275">
        <v>3608.56</v>
      </c>
    </row>
    <row r="108" spans="1:9" x14ac:dyDescent="0.25">
      <c r="A108" s="273">
        <v>2017</v>
      </c>
      <c r="B108" s="273">
        <v>65001</v>
      </c>
      <c r="C108" s="274" t="s">
        <v>301</v>
      </c>
      <c r="D108" s="275">
        <v>417988.39</v>
      </c>
      <c r="E108" s="276"/>
      <c r="F108" s="275">
        <v>2498.7399999999998</v>
      </c>
      <c r="G108" s="276"/>
      <c r="H108" s="276"/>
      <c r="I108" s="275">
        <v>236.69</v>
      </c>
    </row>
    <row r="109" spans="1:9" x14ac:dyDescent="0.25">
      <c r="A109" s="273">
        <v>2017</v>
      </c>
      <c r="B109" s="273">
        <v>39005</v>
      </c>
      <c r="C109" s="274" t="s">
        <v>302</v>
      </c>
      <c r="D109" s="275">
        <v>47714.239999999998</v>
      </c>
      <c r="E109" s="276"/>
      <c r="F109" s="275">
        <v>9184.64</v>
      </c>
      <c r="G109" s="275">
        <v>1510.55</v>
      </c>
      <c r="H109" s="276"/>
      <c r="I109" s="275">
        <v>13291.31</v>
      </c>
    </row>
    <row r="110" spans="1:9" x14ac:dyDescent="0.25">
      <c r="A110" s="273">
        <v>2017</v>
      </c>
      <c r="B110" s="273">
        <v>60004</v>
      </c>
      <c r="C110" s="274" t="s">
        <v>303</v>
      </c>
      <c r="D110" s="275">
        <v>53970.75</v>
      </c>
      <c r="E110" s="276"/>
      <c r="F110" s="275">
        <v>23143.71</v>
      </c>
      <c r="G110" s="275">
        <v>874.58</v>
      </c>
      <c r="H110" s="276"/>
      <c r="I110" s="275">
        <v>17173.189999999999</v>
      </c>
    </row>
    <row r="111" spans="1:9" x14ac:dyDescent="0.25">
      <c r="A111" s="273">
        <v>2017</v>
      </c>
      <c r="B111" s="273">
        <v>33003</v>
      </c>
      <c r="C111" s="274" t="s">
        <v>304</v>
      </c>
      <c r="D111" s="275">
        <v>142506.67000000001</v>
      </c>
      <c r="E111" s="276"/>
      <c r="F111" s="275">
        <v>13690.16</v>
      </c>
      <c r="G111" s="275">
        <v>2111.8000000000002</v>
      </c>
      <c r="H111" s="276"/>
      <c r="I111" s="275">
        <v>25612.93</v>
      </c>
    </row>
    <row r="112" spans="1:9" x14ac:dyDescent="0.25">
      <c r="A112" s="273">
        <v>2017</v>
      </c>
      <c r="B112" s="273">
        <v>32002</v>
      </c>
      <c r="C112" s="274" t="s">
        <v>305</v>
      </c>
      <c r="D112" s="275">
        <v>418522.85</v>
      </c>
      <c r="E112" s="276"/>
      <c r="F112" s="275">
        <v>155949.01</v>
      </c>
      <c r="G112" s="276"/>
      <c r="H112" s="276"/>
      <c r="I112" s="275">
        <v>542285.06999999995</v>
      </c>
    </row>
    <row r="113" spans="1:9" x14ac:dyDescent="0.25">
      <c r="A113" s="273">
        <v>2017</v>
      </c>
      <c r="B113" s="273">
        <v>1001</v>
      </c>
      <c r="C113" s="274" t="s">
        <v>306</v>
      </c>
      <c r="D113" s="275">
        <v>97762.26</v>
      </c>
      <c r="E113" s="276"/>
      <c r="F113" s="275">
        <v>23088.41</v>
      </c>
      <c r="G113" s="276"/>
      <c r="H113" s="276"/>
      <c r="I113" s="275">
        <v>27557.13</v>
      </c>
    </row>
    <row r="114" spans="1:9" x14ac:dyDescent="0.25">
      <c r="A114" s="273">
        <v>2017</v>
      </c>
      <c r="B114" s="273">
        <v>11005</v>
      </c>
      <c r="C114" s="274" t="s">
        <v>307</v>
      </c>
      <c r="D114" s="275">
        <v>193693.83</v>
      </c>
      <c r="E114" s="276"/>
      <c r="F114" s="275">
        <v>19165.21</v>
      </c>
      <c r="G114" s="276"/>
      <c r="H114" s="276"/>
      <c r="I114" s="275">
        <v>62187.75</v>
      </c>
    </row>
    <row r="115" spans="1:9" x14ac:dyDescent="0.25">
      <c r="A115" s="273">
        <v>2017</v>
      </c>
      <c r="B115" s="273">
        <v>51004</v>
      </c>
      <c r="C115" s="274" t="s">
        <v>308</v>
      </c>
      <c r="D115" s="275">
        <v>1180387.98</v>
      </c>
      <c r="E115" s="276"/>
      <c r="F115" s="275">
        <v>770958.43</v>
      </c>
      <c r="G115" s="275">
        <v>134643.92000000001</v>
      </c>
      <c r="H115" s="276"/>
      <c r="I115" s="275">
        <v>682333.12</v>
      </c>
    </row>
    <row r="116" spans="1:9" x14ac:dyDescent="0.25">
      <c r="A116" s="273">
        <v>2017</v>
      </c>
      <c r="B116" s="273">
        <v>56004</v>
      </c>
      <c r="C116" s="274" t="s">
        <v>309</v>
      </c>
      <c r="D116" s="275">
        <v>86541.05</v>
      </c>
      <c r="E116" s="276"/>
      <c r="F116" s="275">
        <v>36477.5</v>
      </c>
      <c r="G116" s="275">
        <v>905.87</v>
      </c>
      <c r="H116" s="276"/>
      <c r="I116" s="275">
        <v>31774.560000000001</v>
      </c>
    </row>
    <row r="117" spans="1:9" x14ac:dyDescent="0.25">
      <c r="A117" s="273">
        <v>2017</v>
      </c>
      <c r="B117" s="273">
        <v>54004</v>
      </c>
      <c r="C117" s="274" t="s">
        <v>310</v>
      </c>
      <c r="D117" s="275">
        <v>51791.74</v>
      </c>
      <c r="E117" s="276"/>
      <c r="F117" s="275">
        <v>21187.919999999998</v>
      </c>
      <c r="G117" s="276"/>
      <c r="H117" s="276"/>
      <c r="I117" s="275">
        <v>19676.34</v>
      </c>
    </row>
    <row r="118" spans="1:9" x14ac:dyDescent="0.25">
      <c r="A118" s="273">
        <v>2017</v>
      </c>
      <c r="B118" s="273">
        <v>39004</v>
      </c>
      <c r="C118" s="274" t="s">
        <v>311</v>
      </c>
      <c r="D118" s="275">
        <v>29146.62</v>
      </c>
      <c r="E118" s="276"/>
      <c r="F118" s="275">
        <v>6515.79</v>
      </c>
      <c r="G118" s="276"/>
      <c r="H118" s="276"/>
      <c r="I118" s="275">
        <v>780.12</v>
      </c>
    </row>
    <row r="119" spans="1:9" x14ac:dyDescent="0.25">
      <c r="A119" s="273">
        <v>2017</v>
      </c>
      <c r="B119" s="273">
        <v>55005</v>
      </c>
      <c r="C119" s="274" t="s">
        <v>312</v>
      </c>
      <c r="D119" s="275">
        <v>64208.84</v>
      </c>
      <c r="E119" s="276"/>
      <c r="F119" s="275">
        <v>19580.89</v>
      </c>
      <c r="G119" s="275">
        <v>298.32</v>
      </c>
      <c r="H119" s="276"/>
      <c r="I119" s="275">
        <v>4777.95</v>
      </c>
    </row>
    <row r="120" spans="1:9" x14ac:dyDescent="0.25">
      <c r="A120" s="273">
        <v>2017</v>
      </c>
      <c r="B120" s="273">
        <v>4003</v>
      </c>
      <c r="C120" s="274" t="s">
        <v>313</v>
      </c>
      <c r="D120" s="275">
        <v>73446.78</v>
      </c>
      <c r="E120" s="276"/>
      <c r="F120" s="275">
        <v>10951.8</v>
      </c>
      <c r="G120" s="276"/>
      <c r="H120" s="276"/>
      <c r="I120" s="275">
        <v>24247.34</v>
      </c>
    </row>
    <row r="121" spans="1:9" x14ac:dyDescent="0.25">
      <c r="A121" s="273">
        <v>2017</v>
      </c>
      <c r="B121" s="273">
        <v>62005</v>
      </c>
      <c r="C121" s="274" t="s">
        <v>314</v>
      </c>
      <c r="D121" s="275">
        <v>105803.66</v>
      </c>
      <c r="E121" s="276"/>
      <c r="F121" s="275">
        <v>56432.4</v>
      </c>
      <c r="G121" s="275">
        <v>2334.96</v>
      </c>
      <c r="H121" s="276"/>
      <c r="I121" s="275">
        <v>40064.17</v>
      </c>
    </row>
    <row r="122" spans="1:9" x14ac:dyDescent="0.25">
      <c r="A122" s="273">
        <v>2017</v>
      </c>
      <c r="B122" s="273">
        <v>49005</v>
      </c>
      <c r="C122" s="274" t="s">
        <v>315</v>
      </c>
      <c r="D122" s="275">
        <v>1825334.62</v>
      </c>
      <c r="E122" s="276"/>
      <c r="F122" s="275">
        <v>966024.38</v>
      </c>
      <c r="G122" s="276"/>
      <c r="H122" s="276"/>
      <c r="I122" s="275">
        <v>3069919.33</v>
      </c>
    </row>
    <row r="123" spans="1:9" x14ac:dyDescent="0.25">
      <c r="A123" s="273">
        <v>2017</v>
      </c>
      <c r="B123" s="273">
        <v>5005</v>
      </c>
      <c r="C123" s="274" t="s">
        <v>316</v>
      </c>
      <c r="D123" s="275">
        <v>99962.96</v>
      </c>
      <c r="E123" s="276"/>
      <c r="F123" s="275">
        <v>73277.289999999994</v>
      </c>
      <c r="G123" s="275">
        <v>3450.74</v>
      </c>
      <c r="H123" s="276"/>
      <c r="I123" s="275">
        <v>50211.67</v>
      </c>
    </row>
    <row r="124" spans="1:9" x14ac:dyDescent="0.25">
      <c r="A124" s="273">
        <v>2017</v>
      </c>
      <c r="B124" s="273">
        <v>54002</v>
      </c>
      <c r="C124" s="274" t="s">
        <v>317</v>
      </c>
      <c r="D124" s="275">
        <v>487782.53</v>
      </c>
      <c r="E124" s="276"/>
      <c r="F124" s="275">
        <v>199344.6</v>
      </c>
      <c r="G124" s="276"/>
      <c r="H124" s="276"/>
      <c r="I124" s="275">
        <v>46699.8</v>
      </c>
    </row>
    <row r="125" spans="1:9" x14ac:dyDescent="0.25">
      <c r="A125" s="273">
        <v>2017</v>
      </c>
      <c r="B125" s="273">
        <v>15003</v>
      </c>
      <c r="C125" s="274" t="s">
        <v>318</v>
      </c>
      <c r="D125" s="275">
        <v>23950.720000000001</v>
      </c>
      <c r="E125" s="276"/>
      <c r="F125" s="275">
        <v>5472.05</v>
      </c>
      <c r="G125" s="276"/>
      <c r="H125" s="276"/>
      <c r="I125" s="275">
        <v>1119.2</v>
      </c>
    </row>
    <row r="126" spans="1:9" x14ac:dyDescent="0.25">
      <c r="A126" s="273">
        <v>2017</v>
      </c>
      <c r="B126" s="273">
        <v>26005</v>
      </c>
      <c r="C126" s="274" t="s">
        <v>319</v>
      </c>
      <c r="D126" s="275">
        <v>46567.65</v>
      </c>
      <c r="E126" s="276"/>
      <c r="F126" s="275">
        <v>5813.93</v>
      </c>
      <c r="G126" s="276"/>
      <c r="H126" s="276"/>
      <c r="I126" s="275">
        <v>11015.42</v>
      </c>
    </row>
    <row r="127" spans="1:9" x14ac:dyDescent="0.25">
      <c r="A127" s="273">
        <v>2017</v>
      </c>
      <c r="B127" s="273">
        <v>40002</v>
      </c>
      <c r="C127" s="274" t="s">
        <v>320</v>
      </c>
      <c r="D127" s="275">
        <v>195962.49</v>
      </c>
      <c r="E127" s="276"/>
      <c r="F127" s="275">
        <v>285908.61</v>
      </c>
      <c r="G127" s="276"/>
      <c r="H127" s="276"/>
      <c r="I127" s="275">
        <v>99391.9</v>
      </c>
    </row>
    <row r="128" spans="1:9" x14ac:dyDescent="0.25">
      <c r="A128" s="273">
        <v>2017</v>
      </c>
      <c r="B128" s="273">
        <v>57001</v>
      </c>
      <c r="C128" s="274" t="s">
        <v>321</v>
      </c>
      <c r="D128" s="275">
        <v>45835.38</v>
      </c>
      <c r="E128" s="276"/>
      <c r="F128" s="275">
        <v>52145.13</v>
      </c>
      <c r="G128" s="276"/>
      <c r="H128" s="276"/>
      <c r="I128" s="275">
        <v>51958.28</v>
      </c>
    </row>
    <row r="129" spans="1:9" x14ac:dyDescent="0.25">
      <c r="A129" s="273">
        <v>2017</v>
      </c>
      <c r="B129" s="273">
        <v>54006</v>
      </c>
      <c r="C129" s="274" t="s">
        <v>322</v>
      </c>
      <c r="D129" s="275">
        <v>43745.38</v>
      </c>
      <c r="E129" s="276"/>
      <c r="F129" s="275">
        <v>13654.38</v>
      </c>
      <c r="G129" s="276"/>
      <c r="H129" s="276"/>
      <c r="I129" s="275">
        <v>11125.84</v>
      </c>
    </row>
    <row r="130" spans="1:9" x14ac:dyDescent="0.25">
      <c r="A130" s="273">
        <v>2017</v>
      </c>
      <c r="B130" s="273">
        <v>41005</v>
      </c>
      <c r="C130" s="274" t="s">
        <v>323</v>
      </c>
      <c r="D130" s="275">
        <v>100521.57</v>
      </c>
      <c r="E130" s="276"/>
      <c r="F130" s="275">
        <v>53007.13</v>
      </c>
      <c r="G130" s="276"/>
      <c r="H130" s="276"/>
      <c r="I130" s="275">
        <v>61231.63</v>
      </c>
    </row>
    <row r="131" spans="1:9" x14ac:dyDescent="0.25">
      <c r="A131" s="273">
        <v>2017</v>
      </c>
      <c r="B131" s="273">
        <v>20003</v>
      </c>
      <c r="C131" s="274" t="s">
        <v>324</v>
      </c>
      <c r="D131" s="275">
        <v>49979.1</v>
      </c>
      <c r="E131" s="276"/>
      <c r="F131" s="275">
        <v>2366.5</v>
      </c>
      <c r="G131" s="276"/>
      <c r="H131" s="276"/>
      <c r="I131" s="275">
        <v>18618.650000000001</v>
      </c>
    </row>
    <row r="132" spans="1:9" x14ac:dyDescent="0.25">
      <c r="A132" s="273">
        <v>2017</v>
      </c>
      <c r="B132" s="273">
        <v>66001</v>
      </c>
      <c r="C132" s="274" t="s">
        <v>325</v>
      </c>
      <c r="D132" s="275">
        <v>406156.67</v>
      </c>
      <c r="E132" s="276"/>
      <c r="F132" s="277"/>
      <c r="G132" s="276"/>
      <c r="H132" s="276"/>
      <c r="I132" s="275">
        <v>4996.6899999999996</v>
      </c>
    </row>
    <row r="133" spans="1:9" x14ac:dyDescent="0.25">
      <c r="A133" s="273">
        <v>2017</v>
      </c>
      <c r="B133" s="273">
        <v>33005</v>
      </c>
      <c r="C133" s="274" t="s">
        <v>326</v>
      </c>
      <c r="D133" s="275">
        <v>82208.95</v>
      </c>
      <c r="E133" s="276"/>
      <c r="F133" s="275">
        <v>6976.91</v>
      </c>
      <c r="G133" s="275">
        <v>101.74</v>
      </c>
      <c r="H133" s="275">
        <v>127845.41</v>
      </c>
      <c r="I133" s="275">
        <v>21733.16</v>
      </c>
    </row>
    <row r="134" spans="1:9" x14ac:dyDescent="0.25">
      <c r="A134" s="273">
        <v>2017</v>
      </c>
      <c r="B134" s="273">
        <v>49006</v>
      </c>
      <c r="C134" s="274" t="s">
        <v>327</v>
      </c>
      <c r="D134" s="275">
        <v>327623.18</v>
      </c>
      <c r="E134" s="276"/>
      <c r="F134" s="275">
        <v>37795.56</v>
      </c>
      <c r="G134" s="276"/>
      <c r="H134" s="276"/>
      <c r="I134" s="275">
        <v>142269.49</v>
      </c>
    </row>
    <row r="135" spans="1:9" x14ac:dyDescent="0.25">
      <c r="A135" s="273">
        <v>2017</v>
      </c>
      <c r="B135" s="273">
        <v>13001</v>
      </c>
      <c r="C135" s="274" t="s">
        <v>328</v>
      </c>
      <c r="D135" s="275">
        <v>209365.99</v>
      </c>
      <c r="E135" s="276"/>
      <c r="F135" s="275">
        <v>151052.06</v>
      </c>
      <c r="G135" s="275">
        <v>232.67</v>
      </c>
      <c r="H135" s="276"/>
      <c r="I135" s="275">
        <v>49262.07</v>
      </c>
    </row>
    <row r="136" spans="1:9" x14ac:dyDescent="0.25">
      <c r="A136" s="273">
        <v>2017</v>
      </c>
      <c r="B136" s="273">
        <v>60006</v>
      </c>
      <c r="C136" s="274" t="s">
        <v>329</v>
      </c>
      <c r="D136" s="275">
        <v>124740.15</v>
      </c>
      <c r="E136" s="276"/>
      <c r="F136" s="275">
        <v>27838.240000000002</v>
      </c>
      <c r="G136" s="275">
        <v>729.09</v>
      </c>
      <c r="H136" s="276"/>
      <c r="I136" s="275">
        <v>9511.5300000000007</v>
      </c>
    </row>
    <row r="137" spans="1:9" x14ac:dyDescent="0.25">
      <c r="A137" s="273">
        <v>2017</v>
      </c>
      <c r="B137" s="273">
        <v>11004</v>
      </c>
      <c r="C137" s="274" t="s">
        <v>330</v>
      </c>
      <c r="D137" s="275">
        <v>111047.95</v>
      </c>
      <c r="E137" s="276"/>
      <c r="F137" s="275">
        <v>30782.3</v>
      </c>
      <c r="G137" s="276"/>
      <c r="H137" s="275">
        <v>6236.36</v>
      </c>
      <c r="I137" s="275">
        <v>25567.07</v>
      </c>
    </row>
    <row r="138" spans="1:9" x14ac:dyDescent="0.25">
      <c r="A138" s="273">
        <v>2017</v>
      </c>
      <c r="B138" s="273">
        <v>51005</v>
      </c>
      <c r="C138" s="274" t="s">
        <v>331</v>
      </c>
      <c r="D138" s="275">
        <v>134999.56</v>
      </c>
      <c r="E138" s="276"/>
      <c r="F138" s="275">
        <v>13414.69</v>
      </c>
      <c r="G138" s="276"/>
      <c r="H138" s="276"/>
      <c r="I138" s="275">
        <v>14569.22</v>
      </c>
    </row>
    <row r="139" spans="1:9" x14ac:dyDescent="0.25">
      <c r="A139" s="273">
        <v>2017</v>
      </c>
      <c r="B139" s="273">
        <v>6005</v>
      </c>
      <c r="C139" s="274" t="s">
        <v>332</v>
      </c>
      <c r="D139" s="275">
        <v>35159.519999999997</v>
      </c>
      <c r="E139" s="276"/>
      <c r="F139" s="275">
        <v>16540.16</v>
      </c>
      <c r="G139" s="275">
        <v>51.14</v>
      </c>
      <c r="H139" s="276"/>
      <c r="I139" s="275">
        <v>19814.32</v>
      </c>
    </row>
    <row r="140" spans="1:9" x14ac:dyDescent="0.25">
      <c r="A140" s="273">
        <v>2017</v>
      </c>
      <c r="B140" s="273">
        <v>14004</v>
      </c>
      <c r="C140" s="274" t="s">
        <v>333</v>
      </c>
      <c r="D140" s="275">
        <v>343293.87</v>
      </c>
      <c r="E140" s="276"/>
      <c r="F140" s="275">
        <v>377538.47</v>
      </c>
      <c r="G140" s="275">
        <v>19662.099999999999</v>
      </c>
      <c r="H140" s="276"/>
      <c r="I140" s="275">
        <v>388310.67</v>
      </c>
    </row>
    <row r="141" spans="1:9" x14ac:dyDescent="0.25">
      <c r="A141" s="273">
        <v>2017</v>
      </c>
      <c r="B141" s="273">
        <v>18003</v>
      </c>
      <c r="C141" s="274" t="s">
        <v>334</v>
      </c>
      <c r="D141" s="275">
        <v>40699.53</v>
      </c>
      <c r="E141" s="276"/>
      <c r="F141" s="275">
        <v>24211.83</v>
      </c>
      <c r="G141" s="276"/>
      <c r="H141" s="276"/>
      <c r="I141" s="275">
        <v>12749.83</v>
      </c>
    </row>
    <row r="142" spans="1:9" x14ac:dyDescent="0.25">
      <c r="A142" s="273">
        <v>2017</v>
      </c>
      <c r="B142" s="273">
        <v>14005</v>
      </c>
      <c r="C142" s="274" t="s">
        <v>335</v>
      </c>
      <c r="D142" s="275">
        <v>57485.46</v>
      </c>
      <c r="E142" s="276"/>
      <c r="F142" s="275">
        <v>11714.64</v>
      </c>
      <c r="G142" s="276"/>
      <c r="H142" s="276"/>
      <c r="I142" s="275">
        <v>30492.62</v>
      </c>
    </row>
    <row r="143" spans="1:9" x14ac:dyDescent="0.25">
      <c r="A143" s="273">
        <v>2017</v>
      </c>
      <c r="B143" s="273">
        <v>18005</v>
      </c>
      <c r="C143" s="274" t="s">
        <v>336</v>
      </c>
      <c r="D143" s="275">
        <v>168559.53</v>
      </c>
      <c r="E143" s="276"/>
      <c r="F143" s="275">
        <v>52151.6</v>
      </c>
      <c r="G143" s="275">
        <v>3705.99</v>
      </c>
      <c r="H143" s="276"/>
      <c r="I143" s="275">
        <v>36873.980000000003</v>
      </c>
    </row>
    <row r="144" spans="1:9" x14ac:dyDescent="0.25">
      <c r="A144" s="273">
        <v>2017</v>
      </c>
      <c r="B144" s="273">
        <v>36002</v>
      </c>
      <c r="C144" s="274" t="s">
        <v>337</v>
      </c>
      <c r="D144" s="275">
        <v>109201.12</v>
      </c>
      <c r="E144" s="276"/>
      <c r="F144" s="275">
        <v>41012.29</v>
      </c>
      <c r="G144" s="275">
        <v>522.9</v>
      </c>
      <c r="H144" s="275">
        <v>161842.26</v>
      </c>
      <c r="I144" s="275">
        <v>25145.66</v>
      </c>
    </row>
    <row r="145" spans="1:9" x14ac:dyDescent="0.25">
      <c r="A145" s="273">
        <v>2017</v>
      </c>
      <c r="B145" s="273">
        <v>49007</v>
      </c>
      <c r="C145" s="274" t="s">
        <v>338</v>
      </c>
      <c r="D145" s="275">
        <v>322868.03999999998</v>
      </c>
      <c r="E145" s="276"/>
      <c r="F145" s="275">
        <v>52084.39</v>
      </c>
      <c r="G145" s="276"/>
      <c r="H145" s="276"/>
      <c r="I145" s="275">
        <v>162815.57999999999</v>
      </c>
    </row>
    <row r="146" spans="1:9" x14ac:dyDescent="0.25">
      <c r="A146" s="273">
        <v>2017</v>
      </c>
      <c r="B146" s="273">
        <v>1003</v>
      </c>
      <c r="C146" s="274" t="s">
        <v>339</v>
      </c>
      <c r="D146" s="275">
        <v>39028.129999999997</v>
      </c>
      <c r="E146" s="276"/>
      <c r="F146" s="275">
        <v>10826.98</v>
      </c>
      <c r="G146" s="276"/>
      <c r="H146" s="275">
        <v>145509.31</v>
      </c>
      <c r="I146" s="275">
        <v>22807.02</v>
      </c>
    </row>
    <row r="147" spans="1:9" x14ac:dyDescent="0.25">
      <c r="A147" s="273">
        <v>2017</v>
      </c>
      <c r="B147" s="273">
        <v>47001</v>
      </c>
      <c r="C147" s="274" t="s">
        <v>340</v>
      </c>
      <c r="D147" s="275">
        <v>68725.429999999993</v>
      </c>
      <c r="E147" s="276"/>
      <c r="F147" s="275">
        <v>19772.66</v>
      </c>
      <c r="G147" s="276"/>
      <c r="H147" s="276"/>
      <c r="I147" s="276"/>
    </row>
    <row r="148" spans="1:9" x14ac:dyDescent="0.25">
      <c r="A148" s="273">
        <v>2017</v>
      </c>
      <c r="B148" s="273">
        <v>12003</v>
      </c>
      <c r="C148" s="274" t="s">
        <v>341</v>
      </c>
      <c r="D148" s="275">
        <v>301326.77</v>
      </c>
      <c r="E148" s="276"/>
      <c r="F148" s="275">
        <v>11123.13</v>
      </c>
      <c r="G148" s="276"/>
      <c r="H148" s="276"/>
      <c r="I148" s="275">
        <v>13161.43</v>
      </c>
    </row>
    <row r="149" spans="1:9" x14ac:dyDescent="0.25">
      <c r="A149" s="273">
        <v>2017</v>
      </c>
      <c r="B149" s="273">
        <v>54007</v>
      </c>
      <c r="C149" s="274" t="s">
        <v>342</v>
      </c>
      <c r="D149" s="275">
        <v>70963.95</v>
      </c>
      <c r="E149" s="276"/>
      <c r="F149" s="275">
        <v>22251.63</v>
      </c>
      <c r="G149" s="276"/>
      <c r="H149" s="276"/>
      <c r="I149" s="275">
        <v>17098.11</v>
      </c>
    </row>
    <row r="150" spans="1:9" x14ac:dyDescent="0.25">
      <c r="A150" s="273">
        <v>2017</v>
      </c>
      <c r="B150" s="273">
        <v>59002</v>
      </c>
      <c r="C150" s="274" t="s">
        <v>343</v>
      </c>
      <c r="D150" s="275">
        <v>255240.51</v>
      </c>
      <c r="E150" s="276"/>
      <c r="F150" s="275">
        <v>36504.06</v>
      </c>
      <c r="G150" s="276"/>
      <c r="H150" s="276"/>
      <c r="I150" s="275">
        <v>44272.81</v>
      </c>
    </row>
    <row r="151" spans="1:9" x14ac:dyDescent="0.25">
      <c r="A151" s="273">
        <v>2017</v>
      </c>
      <c r="B151" s="273">
        <v>2006</v>
      </c>
      <c r="C151" s="274" t="s">
        <v>344</v>
      </c>
      <c r="D151" s="275">
        <v>69508.89</v>
      </c>
      <c r="E151" s="276"/>
      <c r="F151" s="275">
        <v>20763.53</v>
      </c>
      <c r="G151" s="276"/>
      <c r="H151" s="276"/>
      <c r="I151" s="275">
        <v>34083.980000000003</v>
      </c>
    </row>
    <row r="152" spans="1:9" x14ac:dyDescent="0.25">
      <c r="A152" s="273">
        <v>2017</v>
      </c>
      <c r="B152" s="273">
        <v>55004</v>
      </c>
      <c r="C152" s="274" t="s">
        <v>345</v>
      </c>
      <c r="D152" s="275">
        <v>55657.22</v>
      </c>
      <c r="E152" s="276"/>
      <c r="F152" s="275">
        <v>20332.04</v>
      </c>
      <c r="G152" s="276"/>
      <c r="H152" s="276"/>
      <c r="I152" s="275">
        <v>4985.7700000000004</v>
      </c>
    </row>
    <row r="153" spans="1:9" x14ac:dyDescent="0.25">
      <c r="A153" s="273">
        <v>2017</v>
      </c>
      <c r="B153" s="273">
        <v>63003</v>
      </c>
      <c r="C153" s="274" t="s">
        <v>346</v>
      </c>
      <c r="D153" s="275">
        <v>327491.03000000003</v>
      </c>
      <c r="E153" s="276"/>
      <c r="F153" s="275">
        <v>356887.15</v>
      </c>
      <c r="G153" s="276"/>
      <c r="H153" s="276"/>
      <c r="I153" s="275">
        <v>263778.34000000003</v>
      </c>
    </row>
    <row r="154" spans="1:9" s="279" customFormat="1" x14ac:dyDescent="0.25">
      <c r="A154" s="1"/>
      <c r="B154" s="1"/>
      <c r="C154" s="1"/>
      <c r="D154" s="280">
        <f t="shared" ref="D154:I154" si="0">SUM(D4:D153)</f>
        <v>24618419.79999999</v>
      </c>
      <c r="E154" s="280">
        <f t="shared" si="0"/>
        <v>12569.04</v>
      </c>
      <c r="F154" s="280">
        <f t="shared" si="0"/>
        <v>9164873.7999999989</v>
      </c>
      <c r="G154" s="280">
        <f t="shared" si="0"/>
        <v>307376.03000000003</v>
      </c>
      <c r="H154" s="280">
        <f t="shared" si="0"/>
        <v>1611372.16</v>
      </c>
      <c r="I154" s="280">
        <f t="shared" si="0"/>
        <v>10964185.859999999</v>
      </c>
    </row>
    <row r="155" spans="1:9" s="6" customFormat="1" ht="15" customHeight="1" x14ac:dyDescent="0.3">
      <c r="A155" s="6" t="s">
        <v>540</v>
      </c>
      <c r="B155" s="2"/>
      <c r="C155" s="278"/>
      <c r="D155" s="279" t="e">
        <f>D154/#REF!</f>
        <v>#REF!</v>
      </c>
      <c r="E155" s="279" t="e">
        <f>E154/#REF!</f>
        <v>#REF!</v>
      </c>
      <c r="F155" s="279" t="e">
        <f>F154/#REF!</f>
        <v>#REF!</v>
      </c>
      <c r="G155" s="279" t="e">
        <f>G154/#REF!</f>
        <v>#REF!</v>
      </c>
      <c r="H155" s="279" t="e">
        <f>H154/#REF!</f>
        <v>#REF!</v>
      </c>
      <c r="I155" s="279" t="e">
        <f>I154/#REF!</f>
        <v>#REF!</v>
      </c>
    </row>
    <row r="156" spans="1:9" s="6" customFormat="1" ht="12" x14ac:dyDescent="0.2"/>
    <row r="157" spans="1:9" s="6" customFormat="1" ht="12" x14ac:dyDescent="0.2"/>
    <row r="158" spans="1:9" ht="42.75" x14ac:dyDescent="0.25">
      <c r="A158" s="3" t="s">
        <v>534</v>
      </c>
      <c r="D158" s="268" t="s">
        <v>507</v>
      </c>
      <c r="E158" s="268" t="s">
        <v>508</v>
      </c>
      <c r="F158" s="269" t="s">
        <v>509</v>
      </c>
      <c r="G158" s="269" t="s">
        <v>508</v>
      </c>
      <c r="H158" s="270" t="s">
        <v>538</v>
      </c>
      <c r="I158" s="270" t="s">
        <v>539</v>
      </c>
    </row>
    <row r="159" spans="1:9" x14ac:dyDescent="0.25">
      <c r="B159" s="3">
        <v>1003</v>
      </c>
      <c r="C159" s="274" t="s">
        <v>339</v>
      </c>
      <c r="D159" s="275">
        <v>39028.129999999997</v>
      </c>
      <c r="E159" s="276"/>
      <c r="F159" s="275">
        <v>10826.98</v>
      </c>
      <c r="G159" s="276"/>
      <c r="H159" s="275">
        <v>145509.31</v>
      </c>
      <c r="I159" s="275">
        <v>22807.02</v>
      </c>
    </row>
    <row r="160" spans="1:9" x14ac:dyDescent="0.25">
      <c r="B160" s="273">
        <v>31001</v>
      </c>
      <c r="C160" s="274" t="s">
        <v>260</v>
      </c>
      <c r="D160" s="275">
        <v>166704.42000000001</v>
      </c>
      <c r="E160" s="276"/>
      <c r="F160" s="275">
        <v>21507.26</v>
      </c>
      <c r="G160" s="276"/>
      <c r="H160" s="276"/>
      <c r="I160" s="275">
        <v>19115.75</v>
      </c>
    </row>
    <row r="161" spans="2:9" x14ac:dyDescent="0.25">
      <c r="B161" s="273">
        <v>53002</v>
      </c>
      <c r="C161" s="274" t="s">
        <v>268</v>
      </c>
      <c r="D161" s="275">
        <v>71202.66</v>
      </c>
      <c r="E161" s="276"/>
      <c r="F161" s="275">
        <v>10276.74</v>
      </c>
      <c r="G161" s="275">
        <v>304.63</v>
      </c>
      <c r="H161" s="276"/>
      <c r="I161" s="275">
        <v>57507.360000000001</v>
      </c>
    </row>
  </sheetData>
  <autoFilter ref="A3:I155" xr:uid="{78293A49-89F8-44F9-98F5-88687C3F671A}">
    <sortState ref="A4:I155">
      <sortCondition ref="C3:C155"/>
    </sortState>
  </autoFilter>
  <mergeCells count="3"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8B66-DEC5-4875-9EBE-D5B1C932AE2E}">
  <sheetPr>
    <tabColor rgb="FF00B050"/>
  </sheetPr>
  <dimension ref="A1:E16"/>
  <sheetViews>
    <sheetView workbookViewId="0">
      <selection activeCell="B14" sqref="B14"/>
    </sheetView>
  </sheetViews>
  <sheetFormatPr defaultRowHeight="15" x14ac:dyDescent="0.25"/>
  <cols>
    <col min="1" max="1" width="58.42578125" bestFit="1" customWidth="1"/>
    <col min="2" max="2" width="15.85546875" bestFit="1" customWidth="1"/>
    <col min="3" max="4" width="15.140625" bestFit="1" customWidth="1"/>
  </cols>
  <sheetData>
    <row r="1" spans="1:5" ht="21" x14ac:dyDescent="0.35">
      <c r="A1" s="517" t="s">
        <v>588</v>
      </c>
      <c r="B1" s="518"/>
      <c r="C1" s="518"/>
      <c r="D1" s="518"/>
      <c r="E1" s="283"/>
    </row>
    <row r="2" spans="1:5" s="9" customFormat="1" ht="21" x14ac:dyDescent="0.35">
      <c r="A2" s="519" t="str">
        <f>'1. Est. Gen State Aid Calc'!A2:E2</f>
        <v>FY 2020</v>
      </c>
      <c r="B2" s="519"/>
      <c r="C2" s="519"/>
      <c r="D2" s="519"/>
      <c r="E2" s="283"/>
    </row>
    <row r="3" spans="1:5" ht="31.5" x14ac:dyDescent="0.25">
      <c r="A3" s="303"/>
      <c r="B3" s="282" t="s">
        <v>355</v>
      </c>
      <c r="C3" s="282" t="s">
        <v>575</v>
      </c>
      <c r="D3" s="282" t="s">
        <v>499</v>
      </c>
      <c r="E3" s="283"/>
    </row>
    <row r="4" spans="1:5" ht="15.75" x14ac:dyDescent="0.25">
      <c r="A4" s="283" t="s">
        <v>541</v>
      </c>
      <c r="B4" s="289">
        <f>'1. Est. Gen State Aid Calc'!B44</f>
        <v>4994634</v>
      </c>
      <c r="C4" s="289">
        <f>INDEX('FY19 State Aid'!$F$5:$F$153,MATCH('3. Prior Year Need Comparison'!A1,'FY19 State Aid'!B5:B153,0))</f>
        <v>4726089</v>
      </c>
      <c r="D4" s="289">
        <f>INDEX('FY18 State Aid'!$E$2:$E$150,MATCH('3. Prior Year Need Comparison'!A1,'FY18 State Aid'!$B$2:$B$150,0))</f>
        <v>5008553</v>
      </c>
      <c r="E4" s="283"/>
    </row>
    <row r="5" spans="1:5" ht="15.75" x14ac:dyDescent="0.25">
      <c r="A5" s="283" t="s">
        <v>542</v>
      </c>
      <c r="B5" s="289">
        <f>'1. Est. Gen State Aid Calc'!B45</f>
        <v>4866182</v>
      </c>
      <c r="C5" s="289">
        <f>INDEX('FY19 State Aid'!$I$5:$I$153,MATCH('3. Prior Year Need Comparison'!A1,'FY19 State Aid'!$B$5:$B$153,0))</f>
        <v>4994634</v>
      </c>
      <c r="D5" s="289">
        <f>INDEX('FY18 State Aid'!$H$2:$H$150,MATCH('3. Prior Year Need Comparison'!A1,'FY18 State Aid'!$B$2:$B$150,0))</f>
        <v>4726089</v>
      </c>
      <c r="E5" s="283"/>
    </row>
    <row r="6" spans="1:5" ht="15.75" x14ac:dyDescent="0.25">
      <c r="A6" s="283" t="s">
        <v>579</v>
      </c>
      <c r="B6" s="289">
        <f>'1. Est. Gen State Aid Calc'!B46</f>
        <v>0</v>
      </c>
      <c r="C6" s="289">
        <f>INDEX('FY19 State Aid'!$L$5:$L$153,MATCH('3. Prior Year Need Comparison'!A1,'FY19 State Aid'!$B$5:$B$153,0))</f>
        <v>15321573</v>
      </c>
      <c r="D6" s="289">
        <f>INDEX('FY18 State Aid'!$K$2:$K$150,MATCH('3. Prior Year Need Comparison'!A1,'FY18 State Aid'!$B$2:$B$150,0))</f>
        <v>15217890</v>
      </c>
      <c r="E6" s="283"/>
    </row>
    <row r="7" spans="1:5" ht="15.75" x14ac:dyDescent="0.25">
      <c r="A7" s="283" t="s">
        <v>517</v>
      </c>
      <c r="B7" s="289">
        <f>'1. Est. Gen State Aid Calc'!B47</f>
        <v>0</v>
      </c>
      <c r="C7" s="304">
        <v>0</v>
      </c>
      <c r="D7" s="289">
        <f>INDEX('FY18 Other Rev Actual'!$E$4:$E$149,MATCH('3. Prior Year Need Comparison'!$A$1,'FY18 Other Rev Actual'!$C$4:$C$149,0))</f>
        <v>762788.48</v>
      </c>
      <c r="E7" s="305" t="s">
        <v>582</v>
      </c>
    </row>
    <row r="8" spans="1:5" ht="15.75" x14ac:dyDescent="0.25">
      <c r="A8" s="283" t="s">
        <v>518</v>
      </c>
      <c r="B8" s="289">
        <f>'1. Est. Gen State Aid Calc'!B48</f>
        <v>0</v>
      </c>
      <c r="C8" s="304">
        <v>0</v>
      </c>
      <c r="D8" s="289">
        <f>INDEX('FY18 Other Rev Actual'!$F$4:$F$149,MATCH('3. Prior Year Need Comparison'!$A$1,'FY18 Other Rev Actual'!$C$4:$C$149,0))</f>
        <v>0</v>
      </c>
      <c r="E8" s="305" t="s">
        <v>582</v>
      </c>
    </row>
    <row r="9" spans="1:5" ht="15.75" x14ac:dyDescent="0.25">
      <c r="A9" s="283" t="s">
        <v>519</v>
      </c>
      <c r="B9" s="289">
        <f>'1. Est. Gen State Aid Calc'!B49</f>
        <v>0</v>
      </c>
      <c r="C9" s="304">
        <v>0</v>
      </c>
      <c r="D9" s="289">
        <f>INDEX('FY18 Other Rev Actual'!$G$4:$G$149,MATCH('3. Prior Year Need Comparison'!$A$1,'FY18 Other Rev Actual'!$C$4:$C$149,0))</f>
        <v>386851.79</v>
      </c>
      <c r="E9" s="305" t="s">
        <v>582</v>
      </c>
    </row>
    <row r="10" spans="1:5" ht="15.75" x14ac:dyDescent="0.25">
      <c r="A10" s="283" t="s">
        <v>520</v>
      </c>
      <c r="B10" s="289">
        <f>'1. Est. Gen State Aid Calc'!B50</f>
        <v>0</v>
      </c>
      <c r="C10" s="304">
        <v>0</v>
      </c>
      <c r="D10" s="289">
        <f>INDEX('FY18 Other Rev Actual'!$H$4:$H$149,MATCH('3. Prior Year Need Comparison'!$A$1,'FY18 Other Rev Actual'!$C$4:$C$149,0))</f>
        <v>17518.34</v>
      </c>
      <c r="E10" s="305" t="s">
        <v>582</v>
      </c>
    </row>
    <row r="11" spans="1:5" ht="15.75" x14ac:dyDescent="0.25">
      <c r="A11" s="283" t="s">
        <v>521</v>
      </c>
      <c r="B11" s="289">
        <f>'1. Est. Gen State Aid Calc'!B51</f>
        <v>0</v>
      </c>
      <c r="C11" s="304">
        <v>0</v>
      </c>
      <c r="D11" s="289">
        <f>INDEX('FY18 Other Rev Actual'!$I$4:I$149,MATCH('3. Prior Year Need Comparison'!$A$1,'FY18 Other Rev Actual'!$C$4:$C$149,0))</f>
        <v>0</v>
      </c>
      <c r="E11" s="305" t="s">
        <v>582</v>
      </c>
    </row>
    <row r="12" spans="1:5" ht="16.5" thickBot="1" x14ac:dyDescent="0.3">
      <c r="A12" s="283" t="s">
        <v>522</v>
      </c>
      <c r="B12" s="289">
        <f>'1. Est. Gen State Aid Calc'!B52</f>
        <v>0</v>
      </c>
      <c r="C12" s="304">
        <v>0</v>
      </c>
      <c r="D12" s="289">
        <f>INDEX('FY18 Other Rev Actual'!$J$4:J$149,MATCH('3. Prior Year Need Comparison'!$A$1,'FY18 Other Rev Actual'!$C$4:$C$149,0))</f>
        <v>327707.21000000002</v>
      </c>
      <c r="E12" s="305" t="s">
        <v>582</v>
      </c>
    </row>
    <row r="13" spans="1:5" ht="17.25" x14ac:dyDescent="0.3">
      <c r="A13" s="281" t="s">
        <v>543</v>
      </c>
      <c r="B13" s="306">
        <f>SUM(B4:B12)</f>
        <v>9860816</v>
      </c>
      <c r="C13" s="306">
        <f>SUM(C4:C12)</f>
        <v>25042296</v>
      </c>
      <c r="D13" s="306">
        <f>SUM(D4:D12)</f>
        <v>26447397.82</v>
      </c>
      <c r="E13" s="283"/>
    </row>
    <row r="14" spans="1:5" ht="15.75" x14ac:dyDescent="0.25">
      <c r="A14" s="283" t="s">
        <v>544</v>
      </c>
      <c r="B14" s="289">
        <f>B13-C13</f>
        <v>-15181480</v>
      </c>
      <c r="C14" s="289">
        <f>C13-D13</f>
        <v>-1405101.8200000003</v>
      </c>
      <c r="D14" s="283"/>
      <c r="E14" s="283"/>
    </row>
    <row r="16" spans="1:5" ht="15.75" x14ac:dyDescent="0.25">
      <c r="A16" s="307" t="s">
        <v>545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B422-3510-4391-A169-C4F34538422B}">
  <sheetPr codeName="Sheet2">
    <tabColor rgb="FFFFC000"/>
  </sheetPr>
  <dimension ref="A1:I32"/>
  <sheetViews>
    <sheetView zoomScale="80" zoomScaleNormal="80" workbookViewId="0">
      <pane ySplit="1" topLeftCell="A2" activePane="bottomLeft" state="frozen"/>
      <selection pane="bottomLeft" activeCell="D38" sqref="D38"/>
    </sheetView>
  </sheetViews>
  <sheetFormatPr defaultRowHeight="15.75" x14ac:dyDescent="0.25"/>
  <cols>
    <col min="1" max="1" width="61.140625" style="283" customWidth="1"/>
    <col min="2" max="4" width="16.42578125" style="283" bestFit="1" customWidth="1"/>
    <col min="5" max="5" width="12.5703125" style="283" bestFit="1" customWidth="1"/>
    <col min="6" max="16384" width="9.140625" style="283"/>
  </cols>
  <sheetData>
    <row r="1" spans="1:9" ht="31.5" x14ac:dyDescent="0.45">
      <c r="A1" s="416" t="str">
        <f>'1. Est. Gen State Aid Calc'!A5:A5</f>
        <v>Aberdeen 06-1</v>
      </c>
      <c r="B1" s="417" t="s">
        <v>355</v>
      </c>
      <c r="C1" s="417" t="s">
        <v>498</v>
      </c>
      <c r="D1" s="417" t="s">
        <v>499</v>
      </c>
    </row>
    <row r="2" spans="1:9" ht="26.25" customHeight="1" x14ac:dyDescent="0.25">
      <c r="A2" s="283" t="s">
        <v>363</v>
      </c>
      <c r="B2" s="284">
        <v>2.5000000000000001E-2</v>
      </c>
      <c r="C2" s="284">
        <v>0.01</v>
      </c>
      <c r="D2" s="285">
        <v>3.0000000000000001E-3</v>
      </c>
    </row>
    <row r="3" spans="1:9" ht="26.25" customHeight="1" x14ac:dyDescent="0.25">
      <c r="A3" s="283" t="s">
        <v>489</v>
      </c>
      <c r="B3" s="286">
        <f>'1. Est. Gen State Aid Calc'!B8</f>
        <v>0</v>
      </c>
      <c r="C3" s="286">
        <f>INDEX('FY19 Need Calc'!$C$6:$C$154,MATCH('3. Prior Year Need Comparison'!A1,'FY19 Need Calc'!$B$6:$B$154,0))</f>
        <v>4469.9399999999996</v>
      </c>
      <c r="D3" s="286">
        <f>INDEX('FY18 Need Calc'!$C$3:$C$151,MATCH('3. Prior Year Need Comparison'!A1,'FY18 Need Calc'!$B$3:$B$151,0))</f>
        <v>4519.12</v>
      </c>
    </row>
    <row r="4" spans="1:9" ht="26.25" customHeight="1" x14ac:dyDescent="0.25">
      <c r="A4" s="283" t="s">
        <v>491</v>
      </c>
      <c r="B4" s="286">
        <f>'1. Est. Gen State Aid Calc'!B13</f>
        <v>0</v>
      </c>
      <c r="C4" s="286">
        <f>(INDEX('FY19 Need Calc'!$D$6:$D$154,MATCH('3. Prior Year Need Comparison'!A1,'FY19 Need Calc'!$B$6:$B$154,0)))/25%</f>
        <v>147</v>
      </c>
      <c r="D4" s="286">
        <f>(INDEX('FY18 Need Calc'!$D$3:$D$151,MATCH('3. Prior Year Need Comparison'!A1,'FY18 Need Calc'!$B$3:$B$151,0)))/25%</f>
        <v>125</v>
      </c>
    </row>
    <row r="5" spans="1:9" ht="26.25" customHeight="1" x14ac:dyDescent="0.25">
      <c r="A5" s="283" t="s">
        <v>492</v>
      </c>
      <c r="B5" s="286">
        <f>'1. Est. Gen State Aid Calc'!B15</f>
        <v>0</v>
      </c>
      <c r="C5" s="286">
        <f>INDEX('FY19 Need Calc'!$D$6:$D$154,MATCH('3. Prior Year Need Comparison'!A1,'FY19 Need Calc'!$B$6:$B$154,0))</f>
        <v>36.75</v>
      </c>
      <c r="D5" s="286">
        <f>INDEX('FY18 Need Calc'!$D$3:$D$151,MATCH('3. Prior Year Need Comparison'!A1,'FY18 Need Calc'!$B$3:$B$151,0))</f>
        <v>31.25</v>
      </c>
    </row>
    <row r="6" spans="1:9" ht="26.25" customHeight="1" x14ac:dyDescent="0.25">
      <c r="A6" s="283" t="s">
        <v>500</v>
      </c>
      <c r="B6" s="286">
        <f>'1. Est. Gen State Aid Calc'!B9</f>
        <v>12</v>
      </c>
      <c r="C6" s="286">
        <f>INDEX('FY19 Need Calc'!$E$6:$E$154,MATCH('3. Prior Year Need Comparison'!A1,'FY19 Need Calc'!$B$6:$B$154,0))</f>
        <v>15</v>
      </c>
      <c r="D6" s="286">
        <f>INDEX('FY18 Need Calc'!$E$3:$E$151,MATCH('3. Prior Year Need Comparison'!A1,'FY18 Need Calc'!$B$3:$B$151,0))</f>
        <v>15</v>
      </c>
    </row>
    <row r="7" spans="1:9" ht="26.25" customHeight="1" x14ac:dyDescent="0.25">
      <c r="A7" s="283" t="s">
        <v>354</v>
      </c>
      <c r="B7" s="287">
        <f>'1. Est. Gen State Aid Calc'!B21</f>
        <v>50360.26</v>
      </c>
      <c r="C7" s="287">
        <v>49131.96</v>
      </c>
      <c r="D7" s="287">
        <v>48645.5</v>
      </c>
    </row>
    <row r="8" spans="1:9" ht="26.25" customHeight="1" x14ac:dyDescent="0.25">
      <c r="A8" s="283" t="s">
        <v>358</v>
      </c>
      <c r="B8" s="288">
        <f>B7*29%</f>
        <v>14604.475399999999</v>
      </c>
      <c r="C8" s="288">
        <f>C7*29%</f>
        <v>14248.268399999999</v>
      </c>
      <c r="D8" s="288">
        <f>D7*29%</f>
        <v>14107.195</v>
      </c>
    </row>
    <row r="9" spans="1:9" ht="26.25" customHeight="1" x14ac:dyDescent="0.25">
      <c r="A9" s="283" t="s">
        <v>488</v>
      </c>
      <c r="B9" s="288">
        <f>B7+B8</f>
        <v>64964.735400000005</v>
      </c>
      <c r="C9" s="288">
        <f>C7+C8</f>
        <v>63380.2284</v>
      </c>
      <c r="D9" s="288">
        <f>D7+D8</f>
        <v>62752.695</v>
      </c>
    </row>
    <row r="10" spans="1:9" ht="26.25" customHeight="1" x14ac:dyDescent="0.25">
      <c r="A10" s="283" t="s">
        <v>503</v>
      </c>
      <c r="B10" s="286">
        <f>'1. Est. Gen State Aid Calc'!B18</f>
        <v>0</v>
      </c>
      <c r="C10" s="286">
        <f>INDEX('FY19 Need Calc'!$H$6:$H$154,MATCH('3. Prior Year Need Comparison'!A1,'FY19 Need Calc'!$B$6:$B$154,0))</f>
        <v>300.44599999999997</v>
      </c>
      <c r="D10" s="286">
        <f>INDEX('FY18 Need Calc'!$H$3:$H$151,MATCH('3. Prior Year Need Comparison'!A1,'FY18 Need Calc'!$B$3:$B$151,0))</f>
        <v>303.35799999999995</v>
      </c>
    </row>
    <row r="11" spans="1:9" ht="26.25" customHeight="1" x14ac:dyDescent="0.25">
      <c r="A11" s="283" t="s">
        <v>490</v>
      </c>
      <c r="B11" s="289">
        <f>'1. Est. Gen State Aid Calc'!B24</f>
        <v>0</v>
      </c>
      <c r="C11" s="289">
        <f>C9*(C3/C6)</f>
        <v>18887054.5422864</v>
      </c>
      <c r="D11" s="289">
        <f>D9*(D3/D6)</f>
        <v>18905797.268559996</v>
      </c>
      <c r="E11" s="289"/>
    </row>
    <row r="12" spans="1:9" ht="26.25" customHeight="1" x14ac:dyDescent="0.25">
      <c r="A12" s="283" t="s">
        <v>356</v>
      </c>
      <c r="B12" s="290">
        <v>0.3306</v>
      </c>
      <c r="C12" s="290">
        <v>0.31669999999999998</v>
      </c>
      <c r="D12" s="290">
        <v>0.31040000000000001</v>
      </c>
    </row>
    <row r="13" spans="1:9" ht="26.25" customHeight="1" thickBot="1" x14ac:dyDescent="0.3">
      <c r="A13" s="283" t="s">
        <v>357</v>
      </c>
      <c r="B13" s="289">
        <f>B11*B12</f>
        <v>0</v>
      </c>
      <c r="C13" s="289">
        <f t="shared" ref="C13:D13" si="0">C11*C12</f>
        <v>5981530.1735421028</v>
      </c>
      <c r="D13" s="289">
        <f t="shared" si="0"/>
        <v>5868359.4721610229</v>
      </c>
    </row>
    <row r="14" spans="1:9" ht="26.25" customHeight="1" thickBot="1" x14ac:dyDescent="0.3">
      <c r="A14" s="291" t="s">
        <v>359</v>
      </c>
      <c r="B14" s="292">
        <f>'1. Est. Gen State Aid Calc'!B34</f>
        <v>0</v>
      </c>
      <c r="C14" s="292">
        <f>INDEX('FY19 Need Calc'!$O$6:$O$154,MATCH('3. Prior Year Need Comparison'!A1,'FY19 Need Calc'!$B$6:$B$154,0))</f>
        <v>25078362.945327487</v>
      </c>
      <c r="D14" s="293">
        <f>INDEX('FY18 Need Calc'!$O$3:$O$151,MATCH('3. Prior Year Need Comparison'!A1,'FY18 Need Calc'!$B$3:$B$151,0))</f>
        <v>24952532.59807102</v>
      </c>
    </row>
    <row r="15" spans="1:9" ht="26.25" customHeight="1" x14ac:dyDescent="0.25">
      <c r="A15" s="294" t="s">
        <v>360</v>
      </c>
      <c r="B15" s="295">
        <f>'1. Est. Gen State Aid Calc'!B38</f>
        <v>9860816</v>
      </c>
      <c r="C15" s="295">
        <f>INDEX('FY19 State Aid'!$F$5:$F$153,MATCH('3. Prior Year Need Comparison'!A1,'FY19 State Aid'!$B$5:$B$153,0))+INDEX('FY19 State Aid'!$I$5:$I$153,MATCH('3. Prior Year Need Comparison'!A1,'FY19 State Aid'!$B$5:$B$153,0))</f>
        <v>9720723</v>
      </c>
      <c r="D15" s="296">
        <f>INDEX('FY18 State Aid'!$E$2:$E$150,MATCH('3. Prior Year Need Comparison'!A1,'FY18 State Aid'!$B$2:$B$150,0))+INDEX('FY18 State Aid'!$H$2:$H$150,MATCH('3. Prior Year Need Comparison'!A1,'FY18 State Aid'!$B$2:$B$150,0))</f>
        <v>9734642</v>
      </c>
    </row>
    <row r="16" spans="1:9" ht="26.25" customHeight="1" thickBot="1" x14ac:dyDescent="0.3">
      <c r="A16" s="294" t="s">
        <v>361</v>
      </c>
      <c r="B16" s="295">
        <f>'1. Est. Gen State Aid Calc'!B39</f>
        <v>461856.41000000003</v>
      </c>
      <c r="C16" s="295">
        <f>INDEX('FY19 State Aid'!$E$5:$E$153,MATCH('3. Prior Year Need Comparison'!A1,'FY19 State Aid'!$B$5:$B$153,0))</f>
        <v>36067.030000000028</v>
      </c>
      <c r="D16" s="296">
        <v>0</v>
      </c>
      <c r="I16" s="419"/>
    </row>
    <row r="17" spans="1:4" ht="26.25" customHeight="1" thickBot="1" x14ac:dyDescent="0.3">
      <c r="A17" s="297" t="s">
        <v>362</v>
      </c>
      <c r="B17" s="298">
        <f>'1. Est. Gen State Aid Calc'!B40</f>
        <v>0</v>
      </c>
      <c r="C17" s="298">
        <f>INDEX('FY19 State Aid'!$L$5:$L$153,MATCH('3. Prior Year Need Comparison'!A1,'FY19 State Aid'!$B$5:$B$153,0))</f>
        <v>15321573</v>
      </c>
      <c r="D17" s="299">
        <f>INDEX('FY18 State Aid'!$K$2:$K$150,MATCH('3. Prior Year Need Comparison'!A1,'FY18 State Aid'!$B$2:$B$150,0))</f>
        <v>15217890</v>
      </c>
    </row>
    <row r="18" spans="1:4" ht="17.25" customHeight="1" x14ac:dyDescent="0.25">
      <c r="A18" s="300"/>
      <c r="B18" s="301"/>
      <c r="C18" s="302"/>
      <c r="D18" s="302"/>
    </row>
    <row r="31" spans="1:4" ht="28.5" customHeight="1" x14ac:dyDescent="0.25"/>
    <row r="32" spans="1:4" ht="28.5" customHeight="1" x14ac:dyDescent="0.25"/>
  </sheetData>
  <printOptions horizontalCentered="1"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43A-3DF4-4010-BCAD-DE12F9C05BAE}">
  <sheetPr>
    <tabColor rgb="FFFFFF00"/>
  </sheetPr>
  <dimension ref="A1:R3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6" sqref="E36"/>
    </sheetView>
  </sheetViews>
  <sheetFormatPr defaultRowHeight="15" x14ac:dyDescent="0.25"/>
  <cols>
    <col min="1" max="1" width="64.28515625" customWidth="1"/>
    <col min="2" max="2" width="15" bestFit="1" customWidth="1"/>
    <col min="3" max="3" width="15" style="9" bestFit="1" customWidth="1"/>
    <col min="4" max="4" width="10.5703125" style="9" bestFit="1" customWidth="1"/>
    <col min="5" max="5" width="9.5703125" style="9" bestFit="1" customWidth="1"/>
    <col min="6" max="6" width="15" style="9" bestFit="1" customWidth="1"/>
    <col min="7" max="7" width="16.140625" style="9" bestFit="1" customWidth="1"/>
    <col min="8" max="8" width="10.5703125" style="9" bestFit="1" customWidth="1"/>
    <col min="9" max="9" width="9.5703125" style="9" bestFit="1" customWidth="1"/>
    <col min="10" max="10" width="17.28515625" style="9" bestFit="1" customWidth="1"/>
    <col min="11" max="11" width="18.85546875" style="9" bestFit="1" customWidth="1"/>
    <col min="12" max="12" width="10.5703125" style="9" bestFit="1" customWidth="1"/>
    <col min="13" max="13" width="9.5703125" style="9" bestFit="1" customWidth="1"/>
    <col min="14" max="14" width="14" style="9" customWidth="1"/>
    <col min="15" max="15" width="15" style="9" customWidth="1"/>
    <col min="16" max="16" width="10.5703125" style="9" bestFit="1" customWidth="1"/>
    <col min="17" max="17" width="9.5703125" style="9" bestFit="1" customWidth="1"/>
  </cols>
  <sheetData>
    <row r="1" spans="1:18" s="9" customFormat="1" ht="35.25" customHeight="1" x14ac:dyDescent="0.25">
      <c r="A1" s="311" t="str">
        <f>'1. Est. Gen State Aid Calc'!A5:A5</f>
        <v>Aberdeen 06-1</v>
      </c>
    </row>
    <row r="2" spans="1:18" x14ac:dyDescent="0.25">
      <c r="B2" s="520" t="s">
        <v>554</v>
      </c>
      <c r="C2" s="521"/>
      <c r="D2" s="521"/>
      <c r="E2" s="522"/>
      <c r="F2" s="520" t="s">
        <v>555</v>
      </c>
      <c r="G2" s="521"/>
      <c r="H2" s="521"/>
      <c r="I2" s="522"/>
      <c r="J2" s="520" t="s">
        <v>572</v>
      </c>
      <c r="K2" s="521"/>
      <c r="L2" s="521"/>
      <c r="M2" s="522"/>
      <c r="N2" s="520" t="s">
        <v>573</v>
      </c>
      <c r="O2" s="521"/>
      <c r="P2" s="521"/>
      <c r="Q2" s="522"/>
    </row>
    <row r="3" spans="1:18" x14ac:dyDescent="0.25">
      <c r="B3" s="378" t="s">
        <v>549</v>
      </c>
      <c r="C3" s="244" t="s">
        <v>550</v>
      </c>
      <c r="D3" s="244" t="s">
        <v>552</v>
      </c>
      <c r="E3" s="370" t="s">
        <v>553</v>
      </c>
      <c r="F3" s="378" t="s">
        <v>549</v>
      </c>
      <c r="G3" s="244" t="s">
        <v>550</v>
      </c>
      <c r="H3" s="244" t="s">
        <v>552</v>
      </c>
      <c r="I3" s="370" t="s">
        <v>553</v>
      </c>
      <c r="J3" s="378" t="s">
        <v>549</v>
      </c>
      <c r="K3" s="244" t="s">
        <v>550</v>
      </c>
      <c r="L3" s="244" t="s">
        <v>552</v>
      </c>
      <c r="M3" s="370" t="s">
        <v>553</v>
      </c>
      <c r="N3" s="378" t="s">
        <v>549</v>
      </c>
      <c r="O3" s="244" t="s">
        <v>550</v>
      </c>
      <c r="P3" s="244" t="s">
        <v>552</v>
      </c>
      <c r="Q3" s="370" t="s">
        <v>553</v>
      </c>
    </row>
    <row r="4" spans="1:18" x14ac:dyDescent="0.25">
      <c r="A4" t="s">
        <v>363</v>
      </c>
      <c r="B4" s="388">
        <v>2.5000000000000001E-2</v>
      </c>
      <c r="C4" s="371">
        <v>2.5000000000000001E-2</v>
      </c>
      <c r="D4" s="391"/>
      <c r="E4" s="390"/>
      <c r="F4" s="379">
        <v>0.01</v>
      </c>
      <c r="G4" s="380">
        <v>0.01</v>
      </c>
      <c r="H4" s="372"/>
      <c r="I4" s="373"/>
      <c r="J4" s="388">
        <v>3.0000000000000001E-3</v>
      </c>
      <c r="K4" s="371">
        <v>3.0000000000000001E-3</v>
      </c>
      <c r="L4" s="372"/>
      <c r="M4" s="373"/>
      <c r="N4" s="378" t="s">
        <v>501</v>
      </c>
      <c r="O4" s="371">
        <v>3.0000000000000001E-3</v>
      </c>
      <c r="P4" s="372"/>
      <c r="Q4" s="373"/>
    </row>
    <row r="5" spans="1:18" x14ac:dyDescent="0.25">
      <c r="A5" t="s">
        <v>489</v>
      </c>
      <c r="B5" s="378">
        <f>'1. Est. Gen State Aid Calc'!B8</f>
        <v>0</v>
      </c>
      <c r="C5" s="244">
        <f>B5</f>
        <v>0</v>
      </c>
      <c r="D5" s="364"/>
      <c r="E5" s="374"/>
      <c r="F5" s="381">
        <f>INDEX('SAFE History'!$Q$4:$Q$152,MATCH('4. BRTF v PSA Formula'!$A$1,'SAFE History'!$B$4:$B$152,0))</f>
        <v>4469.9399999999996</v>
      </c>
      <c r="G5" s="382">
        <f>F5</f>
        <v>4469.9399999999996</v>
      </c>
      <c r="H5" s="364"/>
      <c r="I5" s="374"/>
      <c r="J5" s="381">
        <f>INDEX('SAFE History'!$P$4:$P$152,MATCH('4. BRTF v PSA Formula'!$A$1,'SAFE History'!$B$4:$B$152,0))</f>
        <v>4519.12</v>
      </c>
      <c r="K5" s="382">
        <f>J5</f>
        <v>4519.12</v>
      </c>
      <c r="L5" s="364"/>
      <c r="M5" s="374"/>
      <c r="N5" s="378">
        <f>INDEX('SAFE History'!$O$4:$O$152,MATCH('4. BRTF v PSA Formula'!$A$1,'SAFE History'!$B$4:$B$152,0))</f>
        <v>4550.58</v>
      </c>
      <c r="O5" s="244">
        <f>N5</f>
        <v>4550.58</v>
      </c>
      <c r="P5" s="364"/>
      <c r="Q5" s="374"/>
    </row>
    <row r="6" spans="1:18" s="369" customFormat="1" x14ac:dyDescent="0.25">
      <c r="A6" s="369" t="s">
        <v>569</v>
      </c>
      <c r="B6" s="414">
        <f>'1. Est. Gen State Aid Calc'!B13</f>
        <v>0</v>
      </c>
      <c r="C6" s="415">
        <f>B6</f>
        <v>0</v>
      </c>
      <c r="D6" s="375"/>
      <c r="E6" s="376"/>
      <c r="F6" s="414">
        <f>F9/25%</f>
        <v>147</v>
      </c>
      <c r="G6" s="415">
        <f>F6</f>
        <v>147</v>
      </c>
      <c r="H6" s="375"/>
      <c r="I6" s="376"/>
      <c r="J6" s="414">
        <f>J9/25%</f>
        <v>125</v>
      </c>
      <c r="K6" s="415">
        <f>J6</f>
        <v>125</v>
      </c>
      <c r="L6" s="375"/>
      <c r="M6" s="376"/>
      <c r="N6" s="414">
        <f>N9/25%</f>
        <v>65</v>
      </c>
      <c r="O6" s="415">
        <f>N6</f>
        <v>65</v>
      </c>
      <c r="P6" s="375"/>
      <c r="Q6" s="376"/>
    </row>
    <row r="7" spans="1:18" x14ac:dyDescent="0.25">
      <c r="A7" t="s">
        <v>551</v>
      </c>
      <c r="B7" s="383"/>
      <c r="C7" s="363">
        <f>ROUND(G7*(1+C4),2)</f>
        <v>5079</v>
      </c>
      <c r="D7" s="364"/>
      <c r="E7" s="374"/>
      <c r="F7" s="383"/>
      <c r="G7" s="363">
        <f>ROUND(K7*(1+G4),2)</f>
        <v>4955.12</v>
      </c>
      <c r="H7" s="364"/>
      <c r="I7" s="374"/>
      <c r="J7" s="383"/>
      <c r="K7" s="363">
        <f>ROUND(O7*(1+K4),2)</f>
        <v>4906.0600000000004</v>
      </c>
      <c r="L7" s="364"/>
      <c r="M7" s="374"/>
      <c r="N7" s="383"/>
      <c r="O7" s="363">
        <f>ROUND(4876.76*(1+O4),2)</f>
        <v>4891.3900000000003</v>
      </c>
      <c r="P7" s="364"/>
      <c r="Q7" s="374"/>
    </row>
    <row r="8" spans="1:18" x14ac:dyDescent="0.25">
      <c r="A8" s="9" t="s">
        <v>556</v>
      </c>
      <c r="B8" s="383"/>
      <c r="C8" s="363">
        <f>IF(C5&lt;200,847.54,IF(C5&gt;600,0,((C5*-0.0005)+0.3)*4237.72))</f>
        <v>847.54</v>
      </c>
      <c r="D8" s="364"/>
      <c r="E8" s="374"/>
      <c r="F8" s="383"/>
      <c r="G8" s="363">
        <f>IF(G5&lt;200,847.54,IF(G5&gt;600,0,((G5*-0.0005)+0.3)*4237.72))</f>
        <v>0</v>
      </c>
      <c r="H8" s="364"/>
      <c r="I8" s="374"/>
      <c r="J8" s="383"/>
      <c r="K8" s="363">
        <f>IF(K5&lt;200,847.54,IF(K5&gt;600,0,((K5*-0.0005)+0.3)*4237.72))</f>
        <v>0</v>
      </c>
      <c r="L8" s="364"/>
      <c r="M8" s="374"/>
      <c r="N8" s="383"/>
      <c r="O8" s="363">
        <f>IF(O5&lt;200,847.54,IF(O5&gt;600,0,((O5*-0.0005)+0.3)*4237.72))</f>
        <v>0</v>
      </c>
      <c r="P8" s="364"/>
      <c r="Q8" s="374"/>
    </row>
    <row r="9" spans="1:18" s="369" customFormat="1" x14ac:dyDescent="0.25">
      <c r="A9" s="369" t="s">
        <v>2</v>
      </c>
      <c r="B9" s="384">
        <f>'1. Est. Gen State Aid Calc'!B15</f>
        <v>0</v>
      </c>
      <c r="C9" s="413">
        <f>ROUND(C6*(C7*25%),0)</f>
        <v>0</v>
      </c>
      <c r="D9" s="375"/>
      <c r="E9" s="376"/>
      <c r="F9" s="384">
        <f>INDEX('FY19 Need Calc'!$D$6:$D$154,MATCH('4. BRTF v PSA Formula'!A1,'FY19 Need Calc'!$B$6:$B$154,0))</f>
        <v>36.75</v>
      </c>
      <c r="G9" s="413">
        <f>ROUND(G6*(G7*25%),0)</f>
        <v>182101</v>
      </c>
      <c r="H9" s="375"/>
      <c r="I9" s="376"/>
      <c r="J9" s="384">
        <f>INDEX('FY18 Need Calc'!$D$3:$D$151,MATCH('4. BRTF v PSA Formula'!A1,'FY18 Need Calc'!$B$3:$B$151,0))</f>
        <v>31.25</v>
      </c>
      <c r="K9" s="413">
        <f>ROUND(K6*(K7*25%),0)</f>
        <v>153314</v>
      </c>
      <c r="L9" s="375"/>
      <c r="M9" s="376"/>
      <c r="N9" s="384">
        <f>INDEX('FY2017 GSA Need Calculation'!$D$3:$D$152,MATCH('4. BRTF v PSA Formula'!A1,'FY2017 GSA Need Calculation'!$B$3:$B$152,0))</f>
        <v>16.25</v>
      </c>
      <c r="O9" s="413">
        <f>ROUND(O6*(O7*25%),0)</f>
        <v>79485</v>
      </c>
      <c r="P9" s="375"/>
      <c r="Q9" s="376"/>
      <c r="R9" s="369" t="s">
        <v>578</v>
      </c>
    </row>
    <row r="10" spans="1:18" x14ac:dyDescent="0.25">
      <c r="A10" s="9" t="s">
        <v>500</v>
      </c>
      <c r="B10" s="385">
        <f>'1. Est. Gen State Aid Calc'!B9</f>
        <v>12</v>
      </c>
      <c r="C10" s="393"/>
      <c r="D10" s="364"/>
      <c r="E10" s="374"/>
      <c r="F10" s="385">
        <f>INDEX('FY19 Need Calc'!$E$6:$E$154,MATCH(A1,'FY19 Need Calc'!$B$6:$B$154,0))</f>
        <v>15</v>
      </c>
      <c r="G10" s="365"/>
      <c r="H10" s="364"/>
      <c r="I10" s="374"/>
      <c r="J10" s="385">
        <f>INDEX('FY18 Need Calc'!$E$3:$E$151,MATCH('4. BRTF v PSA Formula'!A1,'FY18 Need Calc'!$B$3:$B$151,0))</f>
        <v>15</v>
      </c>
      <c r="K10" s="365"/>
      <c r="L10" s="364"/>
      <c r="M10" s="374"/>
      <c r="N10" s="385">
        <f>INDEX('FY2017 GSA Need Calculation'!$E$3:$E$152,MATCH('4. BRTF v PSA Formula'!A1,'FY2017 GSA Need Calculation'!$B$3:$B$152,0))</f>
        <v>15</v>
      </c>
      <c r="O10" s="365"/>
      <c r="P10" s="364"/>
      <c r="Q10" s="374"/>
    </row>
    <row r="11" spans="1:18" x14ac:dyDescent="0.25">
      <c r="A11" s="9" t="s">
        <v>354</v>
      </c>
      <c r="B11" s="386">
        <v>50360.26</v>
      </c>
      <c r="C11" s="365"/>
      <c r="D11" s="364"/>
      <c r="E11" s="374"/>
      <c r="F11" s="386">
        <v>49131.96</v>
      </c>
      <c r="G11" s="365"/>
      <c r="H11" s="364"/>
      <c r="I11" s="374"/>
      <c r="J11" s="386">
        <v>48645.5</v>
      </c>
      <c r="K11" s="365"/>
      <c r="L11" s="364"/>
      <c r="M11" s="374"/>
      <c r="N11" s="386">
        <v>48500</v>
      </c>
      <c r="O11" s="365"/>
      <c r="P11" s="364"/>
      <c r="Q11" s="374"/>
    </row>
    <row r="12" spans="1:18" x14ac:dyDescent="0.25">
      <c r="A12" s="9" t="s">
        <v>358</v>
      </c>
      <c r="B12" s="387">
        <f>B11*29%</f>
        <v>14604.475399999999</v>
      </c>
      <c r="C12" s="365"/>
      <c r="D12" s="364"/>
      <c r="E12" s="374"/>
      <c r="F12" s="387">
        <f>F11*29%</f>
        <v>14248.268399999999</v>
      </c>
      <c r="G12" s="365"/>
      <c r="H12" s="364"/>
      <c r="I12" s="374"/>
      <c r="J12" s="387">
        <f>J11*29%</f>
        <v>14107.195</v>
      </c>
      <c r="K12" s="365"/>
      <c r="L12" s="364"/>
      <c r="M12" s="374"/>
      <c r="N12" s="387">
        <f>N11*29%</f>
        <v>14064.999999999998</v>
      </c>
      <c r="O12" s="365"/>
      <c r="P12" s="364"/>
      <c r="Q12" s="374"/>
    </row>
    <row r="13" spans="1:18" x14ac:dyDescent="0.25">
      <c r="A13" s="9" t="s">
        <v>488</v>
      </c>
      <c r="B13" s="386">
        <f>B12+B11</f>
        <v>64964.735400000005</v>
      </c>
      <c r="C13" s="365"/>
      <c r="D13" s="364"/>
      <c r="E13" s="374"/>
      <c r="F13" s="386">
        <f>F12+F11</f>
        <v>63380.2284</v>
      </c>
      <c r="G13" s="365"/>
      <c r="H13" s="364"/>
      <c r="I13" s="374"/>
      <c r="J13" s="386">
        <f>J12+J11</f>
        <v>62752.695</v>
      </c>
      <c r="K13" s="365"/>
      <c r="L13" s="364"/>
      <c r="M13" s="374"/>
      <c r="N13" s="386">
        <f>N12+N11</f>
        <v>62565</v>
      </c>
      <c r="O13" s="365"/>
      <c r="P13" s="364"/>
      <c r="Q13" s="374"/>
    </row>
    <row r="14" spans="1:18" x14ac:dyDescent="0.25">
      <c r="A14" s="9" t="s">
        <v>503</v>
      </c>
      <c r="B14" s="389">
        <f>'1. Est. Gen State Aid Calc'!B18</f>
        <v>0</v>
      </c>
      <c r="C14" s="365"/>
      <c r="D14" s="364"/>
      <c r="E14" s="374"/>
      <c r="F14" s="389">
        <f>INDEX('FY19 Need Calc'!$H$6:$H$154,MATCH('4. BRTF v PSA Formula'!A1,'FY19 Need Calc'!$B$6:$B$154,0))</f>
        <v>300.44599999999997</v>
      </c>
      <c r="G14" s="365"/>
      <c r="H14" s="364"/>
      <c r="I14" s="374"/>
      <c r="J14" s="389">
        <f>INDEX('FY18 Need Calc'!$H$3:$H$151,MATCH('4. BRTF v PSA Formula'!A1,'FY18 Need Calc'!$B$3:$B$151,0))</f>
        <v>303.35799999999995</v>
      </c>
      <c r="K14" s="365"/>
      <c r="L14" s="364"/>
      <c r="M14" s="374"/>
      <c r="N14" s="389">
        <f>(N5+N9)/N10</f>
        <v>304.45533333333333</v>
      </c>
      <c r="O14" s="365"/>
      <c r="P14" s="364"/>
      <c r="Q14" s="374"/>
    </row>
    <row r="15" spans="1:18" x14ac:dyDescent="0.25">
      <c r="A15" s="9" t="s">
        <v>490</v>
      </c>
      <c r="B15" s="392">
        <f>'1. Est. Gen State Aid Calc'!B24</f>
        <v>0</v>
      </c>
      <c r="C15" s="365"/>
      <c r="D15" s="364"/>
      <c r="E15" s="374"/>
      <c r="F15" s="392">
        <f>INDEX('FY19 Need Calc'!$J$6:$J$154,MATCH('4. BRTF v PSA Formula'!A1,'FY19 Need Calc'!$B$6:$B$154,0))</f>
        <v>19042336.101866398</v>
      </c>
      <c r="G15" s="365"/>
      <c r="H15" s="364"/>
      <c r="I15" s="374"/>
      <c r="J15" s="392">
        <f>INDEX('FY18 Need Calc'!$J$3:$J$151,MATCH('4. BRTF v PSA Formula'!A1,'FY18 Need Calc'!$B$3:$B$151,0))</f>
        <v>19036532.049809996</v>
      </c>
      <c r="K15" s="365"/>
      <c r="L15" s="364"/>
      <c r="M15" s="374"/>
      <c r="N15" s="392">
        <f>INDEX('FY2017 GSA Need Calculation'!$J$3:$J$152,MATCH('4. BRTF v PSA Formula'!A1,'FY2017 GSA Need Calculation'!$B$3:$B$152,0))</f>
        <v>19048247.93</v>
      </c>
      <c r="O15" s="365"/>
      <c r="P15" s="364"/>
      <c r="Q15" s="374"/>
    </row>
    <row r="16" spans="1:18" x14ac:dyDescent="0.25">
      <c r="A16" s="9" t="s">
        <v>356</v>
      </c>
      <c r="B16" s="388">
        <v>0.3306</v>
      </c>
      <c r="C16" s="365"/>
      <c r="D16" s="364"/>
      <c r="E16" s="374"/>
      <c r="F16" s="388">
        <v>0.31669999999999998</v>
      </c>
      <c r="G16" s="365"/>
      <c r="H16" s="364"/>
      <c r="I16" s="374"/>
      <c r="J16" s="388">
        <v>0.31040000000000001</v>
      </c>
      <c r="K16" s="365"/>
      <c r="L16" s="364"/>
      <c r="M16" s="374"/>
      <c r="N16" s="388">
        <v>0.31</v>
      </c>
      <c r="O16" s="365"/>
      <c r="P16" s="364"/>
      <c r="Q16" s="374"/>
    </row>
    <row r="17" spans="1:17" ht="15.75" thickBot="1" x14ac:dyDescent="0.3">
      <c r="A17" s="9" t="s">
        <v>357</v>
      </c>
      <c r="B17" s="392">
        <f>'1. Est. Gen State Aid Calc'!B28</f>
        <v>0</v>
      </c>
      <c r="C17" s="365"/>
      <c r="D17" s="364"/>
      <c r="E17" s="374"/>
      <c r="F17" s="392">
        <f>INDEX('FY19 Need Calc'!$K$6:$K$154,MATCH('4. BRTF v PSA Formula'!A1,'FY19 Need Calc'!$B$6:$B$154,0))</f>
        <v>6030707.8434610879</v>
      </c>
      <c r="G17" s="365"/>
      <c r="H17" s="364"/>
      <c r="I17" s="374"/>
      <c r="J17" s="392">
        <f>INDEX('FY18 Need Calc'!$K$3:$K$151,MATCH('4. BRTF v PSA Formula'!A1,'FY18 Need Calc'!B3:B151,0))</f>
        <v>5908939.5482610231</v>
      </c>
      <c r="K17" s="397"/>
      <c r="L17" s="364"/>
      <c r="M17" s="374"/>
      <c r="N17" s="392">
        <f>INDEX('FY2017 GSA Need Calculation'!$K$3:$K$65,MATCH('4. BRTF v PSA Formula'!A1,'FY2017 GSA Need Calculation'!$B$3:$B$152,0))</f>
        <v>5904956.8582999995</v>
      </c>
      <c r="O17" s="365"/>
      <c r="P17" s="364"/>
      <c r="Q17" s="374"/>
    </row>
    <row r="18" spans="1:17" ht="16.5" thickTop="1" thickBot="1" x14ac:dyDescent="0.3">
      <c r="A18" s="362" t="s">
        <v>570</v>
      </c>
      <c r="B18" s="394">
        <f>'1. Est. Gen State Aid Calc'!B30</f>
        <v>0</v>
      </c>
      <c r="C18" s="395">
        <f>((C7+C8)*C5)+(C6*C9)</f>
        <v>0</v>
      </c>
      <c r="D18" s="404">
        <f>B18-C18</f>
        <v>0</v>
      </c>
      <c r="E18" s="405" t="e">
        <f>(B18/C18)-1</f>
        <v>#DIV/0!</v>
      </c>
      <c r="F18" s="394">
        <f>INDEX('FY19 Need Calc'!$O$6:$O$154,MATCH('4. BRTF v PSA Formula'!A1,'FY19 Need Calc'!B6:B154,0))</f>
        <v>25078362.945327487</v>
      </c>
      <c r="G18" s="395">
        <f>((G7+G8)*G5)+(G6*G9)</f>
        <v>48917936.092799999</v>
      </c>
      <c r="H18" s="404">
        <f>F18-G18</f>
        <v>-23839573.147472512</v>
      </c>
      <c r="I18" s="405">
        <f>(F18/G18)-1</f>
        <v>-0.4873380819306754</v>
      </c>
      <c r="J18" s="394">
        <f>INDEX('FY18 Need Calc'!$O$3:$O$151,MATCH('4. BRTF v PSA Formula'!A1,'FY18 Need Calc'!$B$3:$B$151,0))</f>
        <v>24952532.59807102</v>
      </c>
      <c r="K18" s="395">
        <f>((K7+K8)*K5)+(K6*K9)</f>
        <v>41335323.867200002</v>
      </c>
      <c r="L18" s="404">
        <f>J18-K18</f>
        <v>-16382791.269128982</v>
      </c>
      <c r="M18" s="405">
        <f>(J18/K18)-1</f>
        <v>-0.3963387663723833</v>
      </c>
      <c r="N18" s="394">
        <f>INDEX('FY2017 GSA Need Calculation'!$O$3:$O$152,MATCH('4. BRTF v PSA Formula'!A1,'FY2017 GSA Need Calculation'!$B$3:$B$152,0))</f>
        <v>24956646.7883</v>
      </c>
      <c r="O18" s="395">
        <f>((O7+O8)*O5)+(O6*O9)</f>
        <v>27425186.506200001</v>
      </c>
      <c r="P18" s="404">
        <f>N18-O18</f>
        <v>-2468539.7179000005</v>
      </c>
      <c r="Q18" s="405">
        <f>(N18/O18)-1</f>
        <v>-9.0009951886450779E-2</v>
      </c>
    </row>
    <row r="19" spans="1:17" ht="15.75" thickTop="1" x14ac:dyDescent="0.25">
      <c r="A19" s="309" t="s">
        <v>557</v>
      </c>
      <c r="B19" s="392">
        <f>'1. Est. Gen State Aid Calc'!B36+'1. Est. Gen State Aid Calc'!B37</f>
        <v>9860816</v>
      </c>
      <c r="C19" s="396">
        <f>B19</f>
        <v>9860816</v>
      </c>
      <c r="D19" s="364"/>
      <c r="E19" s="374"/>
      <c r="F19" s="392">
        <f ca="1">SUMIF('FY19 State Aid'!$B$5:$F$153,'4. BRTF v PSA Formula'!A1,'FY19 State Aid'!$F$5:$F$153)+SUMIF('FY19 State Aid'!B5:I153,'4. BRTF v PSA Formula'!A1,'FY19 State Aid'!I5:I153)</f>
        <v>9720723</v>
      </c>
      <c r="G19" s="396">
        <f ca="1">F19</f>
        <v>9720723</v>
      </c>
      <c r="H19" s="364"/>
      <c r="I19" s="374"/>
      <c r="J19" s="392">
        <f>INDEX('FY18 State Aid'!$E$2:$E$150,MATCH('4. BRTF v PSA Formula'!A1,'FY18 State Aid'!$B$2:$B$150,0))+INDEX('FY18 State Aid'!$H$2:$H$150,MATCH('4. BRTF v PSA Formula'!A1,'FY18 State Aid'!B2:B150,0))+INDEX('FY18 State Aid'!$I$2:$I$150,MATCH('4. BRTF v PSA Formula'!A1,'FY18 State Aid'!$B$2:$B$150,0))</f>
        <v>9734642</v>
      </c>
      <c r="K19" s="396">
        <f>J19</f>
        <v>9734642</v>
      </c>
      <c r="L19" s="364"/>
      <c r="M19" s="374"/>
      <c r="N19" s="392">
        <f>INDEX('FY17 State Aid'!$D$2:$D$151,MATCH('4. BRTF v PSA Formula'!A1,'FY17 State Aid'!$B$2:$B$151,0))+INDEX('FY17 State Aid'!$E$2:$E$151,MATCH('4. BRTF v PSA Formula'!A1,'FY17 State Aid'!$B$2:$B$151,0))+INDEX('FY17 State Aid'!$I$2:$I$151,MATCH('4. BRTF v PSA Formula'!A1,'FY17 State Aid'!$B$2:$B$151,0))+INDEX('FY17 State Aid'!$J$2:$J$151,MATCH('4. BRTF v PSA Formula'!A1,'FY17 State Aid'!$B$2:$B$151,0))</f>
        <v>10716790</v>
      </c>
      <c r="O19" s="396">
        <f>N19</f>
        <v>10716790</v>
      </c>
      <c r="P19" s="364"/>
      <c r="Q19" s="374"/>
    </row>
    <row r="20" spans="1:17" ht="15.75" thickBot="1" x14ac:dyDescent="0.3">
      <c r="A20" s="310" t="s">
        <v>574</v>
      </c>
      <c r="B20" s="392">
        <f>'1. Est. Gen State Aid Calc'!B39</f>
        <v>461856.41000000003</v>
      </c>
      <c r="C20" s="396">
        <v>0</v>
      </c>
      <c r="D20" s="364"/>
      <c r="E20" s="374"/>
      <c r="F20" s="392">
        <f>INDEX('FY19 State Aid'!E5:E153,MATCH('4. BRTF v PSA Formula'!A1,'FY19 State Aid'!B5:B153,0))</f>
        <v>36067.030000000028</v>
      </c>
      <c r="G20" s="396">
        <v>0</v>
      </c>
      <c r="H20" s="364"/>
      <c r="I20" s="374"/>
      <c r="J20" s="386">
        <f>INDEX('FY18 State Aid'!$D$2:$D$150,MATCH('4. BRTF v PSA Formula'!A1,'FY18 State Aid'!$B$2:$B$150,0))</f>
        <v>0</v>
      </c>
      <c r="K20" s="363">
        <v>0</v>
      </c>
      <c r="L20" s="364"/>
      <c r="M20" s="374"/>
      <c r="N20" s="386">
        <v>0</v>
      </c>
      <c r="O20" s="363">
        <v>0</v>
      </c>
      <c r="P20" s="364"/>
      <c r="Q20" s="374"/>
    </row>
    <row r="21" spans="1:17" ht="16.5" thickTop="1" thickBot="1" x14ac:dyDescent="0.3">
      <c r="A21" s="362" t="s">
        <v>362</v>
      </c>
      <c r="B21" s="394">
        <f>'1. Est. Gen State Aid Calc'!B40</f>
        <v>0</v>
      </c>
      <c r="C21" s="395">
        <f>C18-C19</f>
        <v>-9860816</v>
      </c>
      <c r="D21" s="404">
        <f>B21-C21</f>
        <v>9860816</v>
      </c>
      <c r="E21" s="405">
        <f>(B21/C21)-1</f>
        <v>-1</v>
      </c>
      <c r="F21" s="394">
        <f>INDEX('FY19 State Aid'!L5:L153,MATCH('4. BRTF v PSA Formula'!A1,'FY19 State Aid'!B5:B153,0))</f>
        <v>15321573</v>
      </c>
      <c r="G21" s="395">
        <f ca="1">G18-G19</f>
        <v>39197213.092799999</v>
      </c>
      <c r="H21" s="404">
        <f ca="1">F21-G21</f>
        <v>-23875640.092799999</v>
      </c>
      <c r="I21" s="405">
        <f ca="1">(F21/G21)-1</f>
        <v>-0.60911575617057412</v>
      </c>
      <c r="J21" s="394">
        <f>INDEX('FY18 State Aid'!$K$2:$K$150,MATCH('4. BRTF v PSA Formula'!A1,'FY18 State Aid'!$B$2:$B$150,0))</f>
        <v>15217890</v>
      </c>
      <c r="K21" s="395">
        <f>K18-K19</f>
        <v>31600681.867200002</v>
      </c>
      <c r="L21" s="404">
        <f>J21-K21</f>
        <v>-16382791.867200002</v>
      </c>
      <c r="M21" s="405">
        <f>(J21/K21)-1</f>
        <v>-0.51843159385128823</v>
      </c>
      <c r="N21" s="394">
        <f>INDEX('FY17 State Aid'!$L$2:$L$151,MATCH('4. BRTF v PSA Formula'!A1,'FY17 State Aid'!$B$2:$B$151,0))</f>
        <v>14239856</v>
      </c>
      <c r="O21" s="395">
        <f>O18-O19</f>
        <v>16708396.506200001</v>
      </c>
      <c r="P21" s="404">
        <f>N21-O21</f>
        <v>-2468540.5062000006</v>
      </c>
      <c r="Q21" s="405">
        <f>(N21/O21)-1</f>
        <v>-0.14774251408769223</v>
      </c>
    </row>
    <row r="22" spans="1:17" ht="22.5" thickTop="1" thickBot="1" x14ac:dyDescent="0.4">
      <c r="A22" s="523" t="s">
        <v>571</v>
      </c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4"/>
    </row>
    <row r="23" spans="1:17" ht="15.75" thickTop="1" x14ac:dyDescent="0.25">
      <c r="A23" s="366" t="s">
        <v>507</v>
      </c>
      <c r="B23" s="399">
        <f>'1. Est. Gen State Aid Calc'!B47</f>
        <v>0</v>
      </c>
      <c r="C23" s="398">
        <f>'1. Est. Gen State Aid Calc'!B47</f>
        <v>0</v>
      </c>
      <c r="D23" s="367"/>
      <c r="E23" s="377"/>
      <c r="F23" s="399">
        <f>'2. Revenue Comparison'!C7</f>
        <v>0</v>
      </c>
      <c r="G23" s="398">
        <f>'2. Revenue Comparison'!C7</f>
        <v>0</v>
      </c>
      <c r="H23" s="367"/>
      <c r="I23" s="377"/>
      <c r="J23" s="399">
        <f>VLOOKUP($A$1,'FY18 Other Rev Actual'!$C$4:$J$149,3,FALSE)</f>
        <v>762788.48</v>
      </c>
      <c r="K23" s="398">
        <f>J23</f>
        <v>762788.48</v>
      </c>
      <c r="L23" s="367"/>
      <c r="M23" s="377"/>
      <c r="N23" s="399">
        <f>VLOOKUP($A$1,'FY17 Other Rev Actual'!$C$4:$I$153,2,FALSE)</f>
        <v>753948.74</v>
      </c>
      <c r="O23" s="398">
        <f t="shared" ref="O23:O28" si="0">N23</f>
        <v>753948.74</v>
      </c>
      <c r="P23" s="367"/>
      <c r="Q23" s="377"/>
    </row>
    <row r="24" spans="1:17" x14ac:dyDescent="0.25">
      <c r="A24" s="368" t="s">
        <v>508</v>
      </c>
      <c r="B24" s="400">
        <f>'1. Est. Gen State Aid Calc'!B48</f>
        <v>0</v>
      </c>
      <c r="C24" s="397">
        <f>'1. Est. Gen State Aid Calc'!B48</f>
        <v>0</v>
      </c>
      <c r="D24" s="364"/>
      <c r="E24" s="374"/>
      <c r="F24" s="400">
        <f>'2. Revenue Comparison'!C8</f>
        <v>0</v>
      </c>
      <c r="G24" s="397">
        <f>'2. Revenue Comparison'!C8</f>
        <v>0</v>
      </c>
      <c r="H24" s="364"/>
      <c r="I24" s="374"/>
      <c r="J24" s="400">
        <f>VLOOKUP($A$1,'FY18 Other Rev Actual'!$C$4:$J$149,4,FALSE)</f>
        <v>0</v>
      </c>
      <c r="K24" s="397">
        <f>J24</f>
        <v>0</v>
      </c>
      <c r="L24" s="364"/>
      <c r="M24" s="374"/>
      <c r="N24" s="400">
        <f>VLOOKUP($A$1,'FY17 Other Rev Actual'!$C$4:$I$153,3,FALSE)</f>
        <v>0</v>
      </c>
      <c r="O24" s="397">
        <f t="shared" si="0"/>
        <v>0</v>
      </c>
      <c r="P24" s="364"/>
      <c r="Q24" s="374"/>
    </row>
    <row r="25" spans="1:17" x14ac:dyDescent="0.25">
      <c r="A25" s="368" t="s">
        <v>509</v>
      </c>
      <c r="B25" s="400">
        <f>'1. Est. Gen State Aid Calc'!B49</f>
        <v>0</v>
      </c>
      <c r="C25" s="397">
        <f>'1. Est. Gen State Aid Calc'!B49</f>
        <v>0</v>
      </c>
      <c r="D25" s="364"/>
      <c r="E25" s="374"/>
      <c r="F25" s="400">
        <f>'2. Revenue Comparison'!C9</f>
        <v>0</v>
      </c>
      <c r="G25" s="397">
        <f>'2. Revenue Comparison'!C9</f>
        <v>0</v>
      </c>
      <c r="H25" s="364"/>
      <c r="I25" s="374"/>
      <c r="J25" s="400">
        <f>VLOOKUP($A$1,'FY18 Other Rev Actual'!$C$4:$J$149,5,FALSE)</f>
        <v>386851.79</v>
      </c>
      <c r="K25" s="397">
        <f t="shared" ref="K25:K28" si="1">J25</f>
        <v>386851.79</v>
      </c>
      <c r="L25" s="364"/>
      <c r="M25" s="374"/>
      <c r="N25" s="400">
        <f>VLOOKUP($A$1,'FY17 Other Rev Actual'!$C$4:$I$153,4,FALSE)</f>
        <v>356042.73</v>
      </c>
      <c r="O25" s="397">
        <f t="shared" si="0"/>
        <v>356042.73</v>
      </c>
      <c r="P25" s="364"/>
      <c r="Q25" s="374"/>
    </row>
    <row r="26" spans="1:17" x14ac:dyDescent="0.25">
      <c r="A26" s="368" t="s">
        <v>508</v>
      </c>
      <c r="B26" s="400">
        <f>'1. Est. Gen State Aid Calc'!B50</f>
        <v>0</v>
      </c>
      <c r="C26" s="397">
        <f>'1. Est. Gen State Aid Calc'!B50</f>
        <v>0</v>
      </c>
      <c r="D26" s="364"/>
      <c r="E26" s="374"/>
      <c r="F26" s="400">
        <f>'2. Revenue Comparison'!C10</f>
        <v>0</v>
      </c>
      <c r="G26" s="397">
        <f>'2. Revenue Comparison'!C10</f>
        <v>0</v>
      </c>
      <c r="H26" s="364"/>
      <c r="I26" s="374"/>
      <c r="J26" s="400">
        <f>VLOOKUP($A$1,'FY18 Other Rev Actual'!$C$4:$J$149,6,FALSE)</f>
        <v>17518.34</v>
      </c>
      <c r="K26" s="397">
        <f t="shared" si="1"/>
        <v>17518.34</v>
      </c>
      <c r="L26" s="364"/>
      <c r="M26" s="374"/>
      <c r="N26" s="400">
        <f>VLOOKUP($A$1,'FY17 Other Rev Actual'!$C$4:$I$153,5,FALSE)</f>
        <v>16858.080000000002</v>
      </c>
      <c r="O26" s="397">
        <f t="shared" si="0"/>
        <v>16858.080000000002</v>
      </c>
      <c r="P26" s="364"/>
      <c r="Q26" s="374"/>
    </row>
    <row r="27" spans="1:17" x14ac:dyDescent="0.25">
      <c r="A27" s="368" t="s">
        <v>510</v>
      </c>
      <c r="B27" s="400">
        <f>'1. Est. Gen State Aid Calc'!B51</f>
        <v>0</v>
      </c>
      <c r="C27" s="397">
        <f>'1. Est. Gen State Aid Calc'!B51</f>
        <v>0</v>
      </c>
      <c r="D27" s="364"/>
      <c r="E27" s="374"/>
      <c r="F27" s="400">
        <f>'2. Revenue Comparison'!C11</f>
        <v>0</v>
      </c>
      <c r="G27" s="397">
        <f>'2. Revenue Comparison'!C11</f>
        <v>0</v>
      </c>
      <c r="H27" s="364"/>
      <c r="I27" s="374"/>
      <c r="J27" s="400">
        <f>VLOOKUP($A$1,'FY18 Other Rev Actual'!$C$4:$J$149,7,FALSE)</f>
        <v>0</v>
      </c>
      <c r="K27" s="397">
        <f t="shared" si="1"/>
        <v>0</v>
      </c>
      <c r="L27" s="364"/>
      <c r="M27" s="374"/>
      <c r="N27" s="400">
        <f>VLOOKUP($A$1,'FY17 Other Rev Actual'!$C$4:$I$153,6,FALSE)</f>
        <v>0</v>
      </c>
      <c r="O27" s="397">
        <f t="shared" si="0"/>
        <v>0</v>
      </c>
      <c r="P27" s="364"/>
      <c r="Q27" s="374"/>
    </row>
    <row r="28" spans="1:17" ht="15.75" thickBot="1" x14ac:dyDescent="0.3">
      <c r="A28" s="368" t="s">
        <v>511</v>
      </c>
      <c r="B28" s="400">
        <f>'1. Est. Gen State Aid Calc'!B52</f>
        <v>0</v>
      </c>
      <c r="C28" s="397">
        <f>'1. Est. Gen State Aid Calc'!B52</f>
        <v>0</v>
      </c>
      <c r="D28" s="364"/>
      <c r="E28" s="374"/>
      <c r="F28" s="400">
        <f>'2. Revenue Comparison'!C12</f>
        <v>0</v>
      </c>
      <c r="G28" s="397">
        <f>'2. Revenue Comparison'!C12</f>
        <v>0</v>
      </c>
      <c r="H28" s="364"/>
      <c r="I28" s="374"/>
      <c r="J28" s="400">
        <f>VLOOKUP($A$1,'FY18 Other Rev Actual'!$C$4:$J$149,8,FALSE)</f>
        <v>327707.21000000002</v>
      </c>
      <c r="K28" s="397">
        <f t="shared" si="1"/>
        <v>327707.21000000002</v>
      </c>
      <c r="L28" s="364"/>
      <c r="M28" s="374"/>
      <c r="N28" s="400">
        <f>VLOOKUP($A$1,'FY17 Other Rev Actual'!$C$4:$I$153,7,FALSE)</f>
        <v>286563.36</v>
      </c>
      <c r="O28" s="397">
        <f t="shared" si="0"/>
        <v>286563.36</v>
      </c>
      <c r="P28" s="364"/>
      <c r="Q28" s="374"/>
    </row>
    <row r="29" spans="1:17" s="41" customFormat="1" ht="39" customHeight="1" thickTop="1" thickBot="1" x14ac:dyDescent="0.3">
      <c r="A29" s="406" t="s">
        <v>576</v>
      </c>
      <c r="B29" s="407">
        <f>B19+B21+B23+B24+B25+B26+B27+B28</f>
        <v>9860816</v>
      </c>
      <c r="C29" s="408">
        <f>C19+C21+C23+C24+C25+C26+C27+C28</f>
        <v>0</v>
      </c>
      <c r="D29" s="409">
        <f>B29-C29</f>
        <v>9860816</v>
      </c>
      <c r="E29" s="410" t="e">
        <f>(B29/C29)-1</f>
        <v>#DIV/0!</v>
      </c>
      <c r="F29" s="407">
        <f ca="1">F19+F21+F23+F24+F25+F26+F27+F28</f>
        <v>25042296</v>
      </c>
      <c r="G29" s="408">
        <f ca="1">G19+G21+G23+G24+G25+G26+G27+G28</f>
        <v>48917936.092799999</v>
      </c>
      <c r="H29" s="409">
        <f ca="1">F29-G29</f>
        <v>-23875640.092799999</v>
      </c>
      <c r="I29" s="410">
        <f ca="1">(F29/G29)-1</f>
        <v>-0.48807537684146374</v>
      </c>
      <c r="J29" s="411">
        <f>J19+J21+J23+J24+J25+J26+J27+J28</f>
        <v>26447397.82</v>
      </c>
      <c r="K29" s="408">
        <f>K19+K21+K23+K24+K25+K26+K27+K28</f>
        <v>42830189.687200002</v>
      </c>
      <c r="L29" s="409">
        <f>J29-K29</f>
        <v>-16382791.867200002</v>
      </c>
      <c r="M29" s="410">
        <f>(J29/K29)-1</f>
        <v>-0.38250570419715124</v>
      </c>
      <c r="N29" s="407">
        <f>N19+N21+N23+N24+N25+N26+N27+N28</f>
        <v>26370058.909999996</v>
      </c>
      <c r="O29" s="408">
        <f>O19+O21+O23+O24+O25+O26+O27+O28</f>
        <v>28838599.416199997</v>
      </c>
      <c r="P29" s="409">
        <f>N29-O29</f>
        <v>-2468540.5062000006</v>
      </c>
      <c r="Q29" s="412">
        <f>(N29/O29)-1</f>
        <v>-8.5598488004701934E-2</v>
      </c>
    </row>
    <row r="30" spans="1:17" ht="15.75" thickTop="1" x14ac:dyDescent="0.25"/>
    <row r="31" spans="1:17" ht="23.25" x14ac:dyDescent="0.35">
      <c r="A31" s="418" t="s">
        <v>583</v>
      </c>
    </row>
  </sheetData>
  <mergeCells count="5">
    <mergeCell ref="B2:E2"/>
    <mergeCell ref="F2:I2"/>
    <mergeCell ref="J2:M2"/>
    <mergeCell ref="N2:Q2"/>
    <mergeCell ref="A22:Q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DA61-AC2C-42DF-9845-D78E95C9A2FE}">
  <sheetPr>
    <pageSetUpPr fitToPage="1"/>
  </sheetPr>
  <dimension ref="A1:Q191"/>
  <sheetViews>
    <sheetView showGridLines="0" zoomScale="93" zoomScaleNormal="93" workbookViewId="0">
      <pane xSplit="3" ySplit="3" topLeftCell="D99" activePane="bottomRight" state="frozen"/>
      <selection pane="topRight" activeCell="C1" sqref="C1"/>
      <selection pane="bottomLeft" activeCell="A4" sqref="A4"/>
      <selection pane="bottomRight" activeCell="P132" sqref="P132"/>
    </sheetView>
  </sheetViews>
  <sheetFormatPr defaultColWidth="9.140625" defaultRowHeight="16.5" x14ac:dyDescent="0.3"/>
  <cols>
    <col min="1" max="1" width="12.85546875" style="188" customWidth="1"/>
    <col min="2" max="2" width="17.85546875" style="188" customWidth="1"/>
    <col min="3" max="3" width="27.5703125" style="188" bestFit="1" customWidth="1"/>
    <col min="4" max="5" width="13.7109375" style="189" customWidth="1"/>
    <col min="6" max="9" width="13.7109375" style="188" customWidth="1"/>
    <col min="10" max="16" width="13.7109375" style="189" customWidth="1"/>
    <col min="17" max="17" width="12.7109375" style="189" customWidth="1"/>
    <col min="18" max="18" width="12.5703125" style="188" customWidth="1"/>
    <col min="19" max="16384" width="9.140625" style="188"/>
  </cols>
  <sheetData>
    <row r="1" spans="1:17" ht="25.5" x14ac:dyDescent="0.5">
      <c r="C1" s="209" t="s">
        <v>484</v>
      </c>
    </row>
    <row r="2" spans="1:17" ht="25.5" customHeight="1" x14ac:dyDescent="0.3">
      <c r="C2" s="208" t="s">
        <v>483</v>
      </c>
    </row>
    <row r="3" spans="1:17" s="204" customFormat="1" ht="57.6" customHeight="1" thickBot="1" x14ac:dyDescent="0.35">
      <c r="A3" s="207" t="s">
        <v>482</v>
      </c>
      <c r="B3" s="212" t="s">
        <v>485</v>
      </c>
      <c r="C3" s="206" t="s">
        <v>190</v>
      </c>
      <c r="D3" s="205" t="s">
        <v>481</v>
      </c>
      <c r="E3" s="205" t="s">
        <v>480</v>
      </c>
      <c r="F3" s="205" t="s">
        <v>479</v>
      </c>
      <c r="G3" s="205" t="s">
        <v>478</v>
      </c>
      <c r="H3" s="205" t="s">
        <v>477</v>
      </c>
      <c r="I3" s="205" t="s">
        <v>476</v>
      </c>
      <c r="J3" s="205" t="s">
        <v>475</v>
      </c>
      <c r="K3" s="205" t="s">
        <v>474</v>
      </c>
      <c r="L3" s="205" t="s">
        <v>473</v>
      </c>
      <c r="M3" s="205" t="s">
        <v>472</v>
      </c>
      <c r="N3" s="205" t="s">
        <v>471</v>
      </c>
      <c r="O3" s="205" t="s">
        <v>470</v>
      </c>
      <c r="P3" s="205" t="s">
        <v>469</v>
      </c>
      <c r="Q3" s="205" t="s">
        <v>401</v>
      </c>
    </row>
    <row r="4" spans="1:17" ht="17.25" thickBot="1" x14ac:dyDescent="0.35">
      <c r="A4" s="203">
        <v>6001</v>
      </c>
      <c r="B4" s="20" t="s">
        <v>198</v>
      </c>
      <c r="C4" s="202" t="s">
        <v>198</v>
      </c>
      <c r="D4" s="193">
        <v>3702.63</v>
      </c>
      <c r="E4" s="193">
        <v>3761.29</v>
      </c>
      <c r="F4" s="193">
        <v>3733.61</v>
      </c>
      <c r="G4" s="193">
        <v>3738.02</v>
      </c>
      <c r="H4" s="193">
        <v>3874.71</v>
      </c>
      <c r="I4" s="193">
        <v>3971.28</v>
      </c>
      <c r="J4" s="192">
        <v>3976.6</v>
      </c>
      <c r="K4" s="192">
        <v>4169.4799999999996</v>
      </c>
      <c r="L4" s="192">
        <v>4255.4799999999996</v>
      </c>
      <c r="M4" s="192">
        <v>4351.5200000000004</v>
      </c>
      <c r="N4" s="192">
        <v>4470.79</v>
      </c>
      <c r="O4" s="192">
        <v>4550.58</v>
      </c>
      <c r="P4" s="192">
        <v>4519.12</v>
      </c>
      <c r="Q4" s="192">
        <v>4469.9399999999996</v>
      </c>
    </row>
    <row r="5" spans="1:17" ht="17.25" thickBot="1" x14ac:dyDescent="0.35">
      <c r="A5" s="203">
        <v>58003</v>
      </c>
      <c r="B5" s="20" t="s">
        <v>199</v>
      </c>
      <c r="C5" s="202" t="s">
        <v>199</v>
      </c>
      <c r="D5" s="193">
        <v>296</v>
      </c>
      <c r="E5" s="193">
        <v>295</v>
      </c>
      <c r="F5" s="193">
        <v>292</v>
      </c>
      <c r="G5" s="193">
        <v>295</v>
      </c>
      <c r="H5" s="193">
        <v>274</v>
      </c>
      <c r="I5" s="193">
        <v>285</v>
      </c>
      <c r="J5" s="192">
        <v>288</v>
      </c>
      <c r="K5" s="192">
        <v>268</v>
      </c>
      <c r="L5" s="192">
        <v>275</v>
      </c>
      <c r="M5" s="192">
        <v>267</v>
      </c>
      <c r="N5" s="192">
        <v>262.10000000000002</v>
      </c>
      <c r="O5" s="192">
        <v>251</v>
      </c>
      <c r="P5" s="192">
        <v>251.13</v>
      </c>
      <c r="Q5" s="192">
        <v>266.01</v>
      </c>
    </row>
    <row r="6" spans="1:17" ht="17.25" thickBot="1" x14ac:dyDescent="0.35">
      <c r="A6" s="203">
        <v>61001</v>
      </c>
      <c r="B6" s="20" t="s">
        <v>200</v>
      </c>
      <c r="C6" s="202" t="s">
        <v>200</v>
      </c>
      <c r="D6" s="193">
        <v>333</v>
      </c>
      <c r="E6" s="193">
        <v>318.51</v>
      </c>
      <c r="F6" s="193">
        <v>298</v>
      </c>
      <c r="G6" s="193">
        <v>290.08</v>
      </c>
      <c r="H6" s="193">
        <v>281.2</v>
      </c>
      <c r="I6" s="193">
        <v>305.51</v>
      </c>
      <c r="J6" s="192">
        <v>299.51</v>
      </c>
      <c r="K6" s="192">
        <v>292.76</v>
      </c>
      <c r="L6" s="192">
        <v>290.45</v>
      </c>
      <c r="M6" s="192">
        <v>285.58</v>
      </c>
      <c r="N6" s="192">
        <v>279.63</v>
      </c>
      <c r="O6" s="192">
        <v>299.52</v>
      </c>
      <c r="P6" s="192">
        <v>310.27</v>
      </c>
      <c r="Q6" s="192">
        <v>338.39</v>
      </c>
    </row>
    <row r="7" spans="1:17" ht="17.25" thickBot="1" x14ac:dyDescent="0.35">
      <c r="A7" s="203">
        <v>11001</v>
      </c>
      <c r="B7" s="20" t="s">
        <v>201</v>
      </c>
      <c r="C7" s="202" t="s">
        <v>201</v>
      </c>
      <c r="D7" s="193">
        <v>356</v>
      </c>
      <c r="E7" s="193">
        <v>367</v>
      </c>
      <c r="F7" s="193">
        <v>387</v>
      </c>
      <c r="G7" s="193">
        <v>388</v>
      </c>
      <c r="H7" s="193">
        <v>387</v>
      </c>
      <c r="I7" s="193">
        <v>406</v>
      </c>
      <c r="J7" s="192">
        <v>381</v>
      </c>
      <c r="K7" s="192">
        <v>324</v>
      </c>
      <c r="L7" s="192">
        <v>333</v>
      </c>
      <c r="M7" s="192">
        <v>346</v>
      </c>
      <c r="N7" s="192">
        <v>300</v>
      </c>
      <c r="O7" s="192">
        <v>320</v>
      </c>
      <c r="P7" s="192">
        <v>317</v>
      </c>
      <c r="Q7" s="192">
        <v>316</v>
      </c>
    </row>
    <row r="8" spans="1:17" ht="17.25" thickBot="1" x14ac:dyDescent="0.35">
      <c r="A8" s="203">
        <v>38001</v>
      </c>
      <c r="B8" s="20" t="s">
        <v>202</v>
      </c>
      <c r="C8" s="202" t="s">
        <v>202</v>
      </c>
      <c r="D8" s="193">
        <v>325</v>
      </c>
      <c r="E8" s="193">
        <v>320</v>
      </c>
      <c r="F8" s="193">
        <v>306</v>
      </c>
      <c r="G8" s="193">
        <v>297</v>
      </c>
      <c r="H8" s="193">
        <v>300</v>
      </c>
      <c r="I8" s="193">
        <v>288</v>
      </c>
      <c r="J8" s="192">
        <v>297</v>
      </c>
      <c r="K8" s="192">
        <v>288</v>
      </c>
      <c r="L8" s="192">
        <v>281.99</v>
      </c>
      <c r="M8" s="192">
        <v>286</v>
      </c>
      <c r="N8" s="192">
        <v>266</v>
      </c>
      <c r="O8" s="192">
        <v>275</v>
      </c>
      <c r="P8" s="192">
        <v>259</v>
      </c>
      <c r="Q8" s="192">
        <v>256</v>
      </c>
    </row>
    <row r="9" spans="1:17" ht="17.25" thickBot="1" x14ac:dyDescent="0.35">
      <c r="A9" s="203">
        <v>21001</v>
      </c>
      <c r="B9" s="20" t="s">
        <v>203</v>
      </c>
      <c r="C9" s="202" t="s">
        <v>203</v>
      </c>
      <c r="D9" s="193">
        <v>182</v>
      </c>
      <c r="E9" s="193">
        <v>171</v>
      </c>
      <c r="F9" s="193">
        <v>188</v>
      </c>
      <c r="G9" s="193">
        <v>163</v>
      </c>
      <c r="H9" s="193">
        <v>174</v>
      </c>
      <c r="I9" s="193">
        <v>166</v>
      </c>
      <c r="J9" s="192">
        <v>170</v>
      </c>
      <c r="K9" s="192">
        <v>164</v>
      </c>
      <c r="L9" s="192">
        <v>166</v>
      </c>
      <c r="M9" s="192">
        <v>173</v>
      </c>
      <c r="N9" s="192">
        <v>170</v>
      </c>
      <c r="O9" s="192">
        <v>173</v>
      </c>
      <c r="P9" s="192">
        <v>168</v>
      </c>
      <c r="Q9" s="192">
        <v>179</v>
      </c>
    </row>
    <row r="10" spans="1:17" ht="17.25" thickBot="1" x14ac:dyDescent="0.35">
      <c r="A10" s="203">
        <v>4001</v>
      </c>
      <c r="B10" s="20" t="s">
        <v>204</v>
      </c>
      <c r="C10" s="202" t="s">
        <v>204</v>
      </c>
      <c r="D10" s="193">
        <v>266</v>
      </c>
      <c r="E10" s="193">
        <v>264</v>
      </c>
      <c r="F10" s="193">
        <v>262</v>
      </c>
      <c r="G10" s="193">
        <v>238</v>
      </c>
      <c r="H10" s="193">
        <v>235.5</v>
      </c>
      <c r="I10" s="193">
        <v>247</v>
      </c>
      <c r="J10" s="192">
        <v>251.51</v>
      </c>
      <c r="K10" s="192">
        <v>262</v>
      </c>
      <c r="L10" s="192">
        <v>261</v>
      </c>
      <c r="M10" s="192">
        <v>251</v>
      </c>
      <c r="N10" s="192">
        <v>238</v>
      </c>
      <c r="O10" s="192">
        <v>256</v>
      </c>
      <c r="P10" s="192">
        <v>233</v>
      </c>
      <c r="Q10" s="192">
        <v>232</v>
      </c>
    </row>
    <row r="11" spans="1:17" ht="17.25" thickBot="1" x14ac:dyDescent="0.35">
      <c r="A11" s="203">
        <v>49001</v>
      </c>
      <c r="B11" s="20" t="s">
        <v>205</v>
      </c>
      <c r="C11" s="202" t="s">
        <v>205</v>
      </c>
      <c r="D11" s="193">
        <v>365</v>
      </c>
      <c r="E11" s="193">
        <v>393</v>
      </c>
      <c r="F11" s="193">
        <v>400</v>
      </c>
      <c r="G11" s="193">
        <v>419</v>
      </c>
      <c r="H11" s="193">
        <v>431</v>
      </c>
      <c r="I11" s="193">
        <v>405</v>
      </c>
      <c r="J11" s="192">
        <v>411.87</v>
      </c>
      <c r="K11" s="192">
        <v>415</v>
      </c>
      <c r="L11" s="192">
        <v>422.51</v>
      </c>
      <c r="M11" s="192">
        <v>459.89</v>
      </c>
      <c r="N11" s="192">
        <v>477</v>
      </c>
      <c r="O11" s="192">
        <v>498</v>
      </c>
      <c r="P11" s="192">
        <v>491</v>
      </c>
      <c r="Q11" s="192">
        <v>479</v>
      </c>
    </row>
    <row r="12" spans="1:17" ht="17.25" thickBot="1" x14ac:dyDescent="0.35">
      <c r="A12" s="203">
        <v>9001</v>
      </c>
      <c r="B12" s="20" t="s">
        <v>206</v>
      </c>
      <c r="C12" s="202" t="s">
        <v>206</v>
      </c>
      <c r="D12" s="193">
        <v>1290.5999999999999</v>
      </c>
      <c r="E12" s="193">
        <v>1329.1</v>
      </c>
      <c r="F12" s="193">
        <v>1304.2</v>
      </c>
      <c r="G12" s="193">
        <v>1340.06</v>
      </c>
      <c r="H12" s="193">
        <v>1352.13</v>
      </c>
      <c r="I12" s="193">
        <v>1349.71</v>
      </c>
      <c r="J12" s="192">
        <v>1364.56</v>
      </c>
      <c r="K12" s="192">
        <v>1374.31</v>
      </c>
      <c r="L12" s="192">
        <v>1404.03</v>
      </c>
      <c r="M12" s="192">
        <v>1355.51</v>
      </c>
      <c r="N12" s="192">
        <v>1369</v>
      </c>
      <c r="O12" s="192">
        <v>1373.92</v>
      </c>
      <c r="P12" s="192">
        <v>1385.21</v>
      </c>
      <c r="Q12" s="192">
        <v>1361.33</v>
      </c>
    </row>
    <row r="13" spans="1:17" ht="17.25" thickBot="1" x14ac:dyDescent="0.35">
      <c r="A13" s="203">
        <v>3001</v>
      </c>
      <c r="B13" s="20" t="s">
        <v>207</v>
      </c>
      <c r="C13" s="202" t="s">
        <v>207</v>
      </c>
      <c r="D13" s="193">
        <v>537</v>
      </c>
      <c r="E13" s="193">
        <v>515</v>
      </c>
      <c r="F13" s="193">
        <v>531</v>
      </c>
      <c r="G13" s="193">
        <v>518</v>
      </c>
      <c r="H13" s="193">
        <v>572</v>
      </c>
      <c r="I13" s="193">
        <v>519</v>
      </c>
      <c r="J13" s="192">
        <v>521</v>
      </c>
      <c r="K13" s="192">
        <v>470.57</v>
      </c>
      <c r="L13" s="192">
        <v>493</v>
      </c>
      <c r="M13" s="192">
        <v>482</v>
      </c>
      <c r="N13" s="192">
        <v>470</v>
      </c>
      <c r="O13" s="192">
        <v>480</v>
      </c>
      <c r="P13" s="192">
        <v>481</v>
      </c>
      <c r="Q13" s="192">
        <v>442</v>
      </c>
    </row>
    <row r="14" spans="1:17" ht="17.25" thickBot="1" x14ac:dyDescent="0.35">
      <c r="A14" s="203">
        <v>61002</v>
      </c>
      <c r="B14" s="20" t="s">
        <v>208</v>
      </c>
      <c r="C14" s="202" t="s">
        <v>208</v>
      </c>
      <c r="D14" s="193">
        <v>671.74</v>
      </c>
      <c r="E14" s="193">
        <v>686.3</v>
      </c>
      <c r="F14" s="193">
        <v>660.66</v>
      </c>
      <c r="G14" s="193">
        <v>658.81</v>
      </c>
      <c r="H14" s="193">
        <v>633.22</v>
      </c>
      <c r="I14" s="193">
        <v>643.98</v>
      </c>
      <c r="J14" s="192">
        <v>638.96</v>
      </c>
      <c r="K14" s="192">
        <v>640.30999999999995</v>
      </c>
      <c r="L14" s="192">
        <v>650.84</v>
      </c>
      <c r="M14" s="192">
        <v>652</v>
      </c>
      <c r="N14" s="192">
        <v>668</v>
      </c>
      <c r="O14" s="192">
        <v>675</v>
      </c>
      <c r="P14" s="192">
        <v>675.12</v>
      </c>
      <c r="Q14" s="192">
        <v>693.33</v>
      </c>
    </row>
    <row r="15" spans="1:17" ht="17.25" thickBot="1" x14ac:dyDescent="0.35">
      <c r="A15" s="203">
        <v>25001</v>
      </c>
      <c r="B15" s="20" t="s">
        <v>209</v>
      </c>
      <c r="C15" s="202" t="s">
        <v>209</v>
      </c>
      <c r="D15" s="193">
        <v>113.3</v>
      </c>
      <c r="E15" s="193">
        <v>121.2</v>
      </c>
      <c r="F15" s="193">
        <v>112</v>
      </c>
      <c r="G15" s="193">
        <v>120</v>
      </c>
      <c r="H15" s="193">
        <v>117</v>
      </c>
      <c r="I15" s="193">
        <v>119</v>
      </c>
      <c r="J15" s="192">
        <v>121</v>
      </c>
      <c r="K15" s="192">
        <v>103</v>
      </c>
      <c r="L15" s="192">
        <v>106.2</v>
      </c>
      <c r="M15" s="192">
        <v>95</v>
      </c>
      <c r="N15" s="192">
        <v>91</v>
      </c>
      <c r="O15" s="192">
        <v>96</v>
      </c>
      <c r="P15" s="192">
        <v>90</v>
      </c>
      <c r="Q15" s="192">
        <v>91</v>
      </c>
    </row>
    <row r="16" spans="1:17" ht="17.25" thickBot="1" x14ac:dyDescent="0.35">
      <c r="A16" s="203">
        <v>52001</v>
      </c>
      <c r="B16" s="20" t="s">
        <v>210</v>
      </c>
      <c r="C16" s="202" t="s">
        <v>210</v>
      </c>
      <c r="D16" s="193">
        <v>126</v>
      </c>
      <c r="E16" s="193">
        <v>125</v>
      </c>
      <c r="F16" s="193">
        <v>137</v>
      </c>
      <c r="G16" s="193">
        <v>136</v>
      </c>
      <c r="H16" s="193">
        <v>131</v>
      </c>
      <c r="I16" s="193">
        <v>133.13999999999999</v>
      </c>
      <c r="J16" s="192">
        <v>143</v>
      </c>
      <c r="K16" s="192">
        <v>143</v>
      </c>
      <c r="L16" s="192">
        <v>143</v>
      </c>
      <c r="M16" s="192">
        <v>148</v>
      </c>
      <c r="N16" s="192">
        <v>148</v>
      </c>
      <c r="O16" s="192">
        <v>149</v>
      </c>
      <c r="P16" s="192">
        <v>152</v>
      </c>
      <c r="Q16" s="192">
        <v>146</v>
      </c>
    </row>
    <row r="17" spans="1:17" ht="17.25" thickBot="1" x14ac:dyDescent="0.35">
      <c r="A17" s="203">
        <v>4002</v>
      </c>
      <c r="B17" s="20" t="s">
        <v>211</v>
      </c>
      <c r="C17" s="202" t="s">
        <v>211</v>
      </c>
      <c r="D17" s="193">
        <v>605</v>
      </c>
      <c r="E17" s="193">
        <v>594</v>
      </c>
      <c r="F17" s="193">
        <v>591.5</v>
      </c>
      <c r="G17" s="193">
        <v>561</v>
      </c>
      <c r="H17" s="193">
        <v>575</v>
      </c>
      <c r="I17" s="193">
        <v>565</v>
      </c>
      <c r="J17" s="192">
        <v>535</v>
      </c>
      <c r="K17" s="192">
        <v>543.9</v>
      </c>
      <c r="L17" s="192">
        <v>524.42999999999995</v>
      </c>
      <c r="M17" s="192">
        <v>523.02</v>
      </c>
      <c r="N17" s="192">
        <v>485.51</v>
      </c>
      <c r="O17" s="192">
        <v>510</v>
      </c>
      <c r="P17" s="192">
        <v>524</v>
      </c>
      <c r="Q17" s="192">
        <v>531</v>
      </c>
    </row>
    <row r="18" spans="1:17" ht="17.25" thickBot="1" x14ac:dyDescent="0.35">
      <c r="A18" s="203">
        <v>22001</v>
      </c>
      <c r="B18" s="20" t="s">
        <v>212</v>
      </c>
      <c r="C18" s="202" t="s">
        <v>212</v>
      </c>
      <c r="D18" s="193">
        <v>126</v>
      </c>
      <c r="E18" s="193">
        <v>127</v>
      </c>
      <c r="F18" s="193">
        <v>131</v>
      </c>
      <c r="G18" s="193">
        <v>131.01</v>
      </c>
      <c r="H18" s="193">
        <v>130</v>
      </c>
      <c r="I18" s="193">
        <v>136</v>
      </c>
      <c r="J18" s="192">
        <v>147</v>
      </c>
      <c r="K18" s="192">
        <v>136</v>
      </c>
      <c r="L18" s="192">
        <v>128.19999999999999</v>
      </c>
      <c r="M18" s="192">
        <v>121</v>
      </c>
      <c r="N18" s="192">
        <v>122.2</v>
      </c>
      <c r="O18" s="192">
        <v>110.2</v>
      </c>
      <c r="P18" s="192">
        <v>109</v>
      </c>
      <c r="Q18" s="192">
        <v>109</v>
      </c>
    </row>
    <row r="19" spans="1:17" ht="17.25" thickBot="1" x14ac:dyDescent="0.35">
      <c r="A19" s="203">
        <v>49002</v>
      </c>
      <c r="B19" s="20" t="s">
        <v>213</v>
      </c>
      <c r="C19" s="202" t="s">
        <v>213</v>
      </c>
      <c r="D19" s="193">
        <v>2784.19</v>
      </c>
      <c r="E19" s="193">
        <v>2920.03</v>
      </c>
      <c r="F19" s="193">
        <v>3031.22</v>
      </c>
      <c r="G19" s="193">
        <v>3094.62</v>
      </c>
      <c r="H19" s="193">
        <v>3227.43</v>
      </c>
      <c r="I19" s="193">
        <v>3297</v>
      </c>
      <c r="J19" s="192">
        <v>3372.94</v>
      </c>
      <c r="K19" s="192">
        <v>3478.52</v>
      </c>
      <c r="L19" s="192">
        <v>3584.99</v>
      </c>
      <c r="M19" s="192">
        <v>3639.46</v>
      </c>
      <c r="N19" s="192">
        <v>3778.09</v>
      </c>
      <c r="O19" s="192">
        <v>3932.2</v>
      </c>
      <c r="P19" s="192">
        <v>4057.03</v>
      </c>
      <c r="Q19" s="192">
        <v>4249.75</v>
      </c>
    </row>
    <row r="20" spans="1:17" ht="17.25" thickBot="1" x14ac:dyDescent="0.35">
      <c r="A20" s="203">
        <v>30003</v>
      </c>
      <c r="B20" s="20" t="s">
        <v>214</v>
      </c>
      <c r="C20" s="202" t="s">
        <v>214</v>
      </c>
      <c r="D20" s="193"/>
      <c r="E20" s="193"/>
      <c r="F20" s="193"/>
      <c r="G20" s="193"/>
      <c r="H20" s="193"/>
      <c r="I20" s="193">
        <v>300</v>
      </c>
      <c r="J20" s="192">
        <v>309</v>
      </c>
      <c r="K20" s="192">
        <v>321</v>
      </c>
      <c r="L20" s="192">
        <v>332.6</v>
      </c>
      <c r="M20" s="192">
        <v>329.6</v>
      </c>
      <c r="N20" s="192">
        <v>322</v>
      </c>
      <c r="O20" s="192">
        <v>322.10000000000002</v>
      </c>
      <c r="P20" s="192">
        <v>334.1</v>
      </c>
      <c r="Q20" s="192">
        <v>340</v>
      </c>
    </row>
    <row r="21" spans="1:17" ht="17.25" thickBot="1" x14ac:dyDescent="0.35">
      <c r="A21" s="203">
        <v>45004</v>
      </c>
      <c r="B21" s="20" t="s">
        <v>215</v>
      </c>
      <c r="C21" s="202" t="s">
        <v>215</v>
      </c>
      <c r="D21" s="193">
        <v>535.5</v>
      </c>
      <c r="E21" s="193">
        <v>531.1</v>
      </c>
      <c r="F21" s="193">
        <v>512.1</v>
      </c>
      <c r="G21" s="193">
        <v>491</v>
      </c>
      <c r="H21" s="193">
        <v>507.2</v>
      </c>
      <c r="I21" s="193">
        <v>500</v>
      </c>
      <c r="J21" s="192">
        <v>494.15</v>
      </c>
      <c r="K21" s="192">
        <v>484</v>
      </c>
      <c r="L21" s="192">
        <v>460.5</v>
      </c>
      <c r="M21" s="192">
        <v>450.99</v>
      </c>
      <c r="N21" s="192">
        <v>432.12</v>
      </c>
      <c r="O21" s="192">
        <v>409.24</v>
      </c>
      <c r="P21" s="192">
        <v>414.24</v>
      </c>
      <c r="Q21" s="192">
        <v>418.75</v>
      </c>
    </row>
    <row r="22" spans="1:17" ht="17.25" thickBot="1" x14ac:dyDescent="0.35">
      <c r="A22" s="203">
        <v>5001</v>
      </c>
      <c r="B22" s="20" t="s">
        <v>216</v>
      </c>
      <c r="C22" s="202" t="s">
        <v>216</v>
      </c>
      <c r="D22" s="193">
        <v>2701.92</v>
      </c>
      <c r="E22" s="193">
        <v>2680.09</v>
      </c>
      <c r="F22" s="193">
        <v>2701.84</v>
      </c>
      <c r="G22" s="193">
        <v>2743.63</v>
      </c>
      <c r="H22" s="193">
        <v>2796.03</v>
      </c>
      <c r="I22" s="193">
        <v>2848.79</v>
      </c>
      <c r="J22" s="192">
        <v>2929.1</v>
      </c>
      <c r="K22" s="192">
        <v>2988.05</v>
      </c>
      <c r="L22" s="192">
        <v>3184.6</v>
      </c>
      <c r="M22" s="192">
        <v>3277.5</v>
      </c>
      <c r="N22" s="192">
        <v>3354.41</v>
      </c>
      <c r="O22" s="192">
        <v>3341.87</v>
      </c>
      <c r="P22" s="192">
        <v>3402.6</v>
      </c>
      <c r="Q22" s="192">
        <v>3402.03</v>
      </c>
    </row>
    <row r="23" spans="1:17" ht="17.25" thickBot="1" x14ac:dyDescent="0.35">
      <c r="A23" s="203">
        <v>26002</v>
      </c>
      <c r="B23" s="20" t="s">
        <v>217</v>
      </c>
      <c r="C23" s="202" t="s">
        <v>217</v>
      </c>
      <c r="D23" s="193">
        <v>206</v>
      </c>
      <c r="E23" s="193">
        <v>206</v>
      </c>
      <c r="F23" s="193">
        <v>204</v>
      </c>
      <c r="G23" s="193">
        <v>196</v>
      </c>
      <c r="H23" s="193">
        <v>198</v>
      </c>
      <c r="I23" s="193">
        <v>191</v>
      </c>
      <c r="J23" s="192">
        <v>189</v>
      </c>
      <c r="K23" s="192">
        <v>205</v>
      </c>
      <c r="L23" s="192">
        <v>200</v>
      </c>
      <c r="M23" s="192">
        <v>221</v>
      </c>
      <c r="N23" s="192">
        <v>219</v>
      </c>
      <c r="O23" s="192">
        <v>220</v>
      </c>
      <c r="P23" s="192">
        <v>229</v>
      </c>
      <c r="Q23" s="192">
        <v>243</v>
      </c>
    </row>
    <row r="24" spans="1:17" ht="17.25" thickBot="1" x14ac:dyDescent="0.35">
      <c r="A24" s="203">
        <v>43001</v>
      </c>
      <c r="B24" s="20" t="s">
        <v>218</v>
      </c>
      <c r="C24" s="202" t="s">
        <v>218</v>
      </c>
      <c r="D24" s="193">
        <v>271</v>
      </c>
      <c r="E24" s="193">
        <v>249</v>
      </c>
      <c r="F24" s="193">
        <v>239</v>
      </c>
      <c r="G24" s="193">
        <v>230.25</v>
      </c>
      <c r="H24" s="193">
        <v>250</v>
      </c>
      <c r="I24" s="193">
        <v>256</v>
      </c>
      <c r="J24" s="192">
        <v>230</v>
      </c>
      <c r="K24" s="192">
        <v>231</v>
      </c>
      <c r="L24" s="192">
        <v>217</v>
      </c>
      <c r="M24" s="192">
        <v>211.29</v>
      </c>
      <c r="N24" s="192">
        <v>216.09</v>
      </c>
      <c r="O24" s="192">
        <v>202.22</v>
      </c>
      <c r="P24" s="192">
        <v>210.53</v>
      </c>
      <c r="Q24" s="192">
        <v>193</v>
      </c>
    </row>
    <row r="25" spans="1:17" ht="17.25" thickBot="1" x14ac:dyDescent="0.35">
      <c r="A25" s="203">
        <v>41001</v>
      </c>
      <c r="B25" s="20" t="s">
        <v>219</v>
      </c>
      <c r="C25" s="202" t="s">
        <v>219</v>
      </c>
      <c r="D25" s="193">
        <v>940.02</v>
      </c>
      <c r="E25" s="193">
        <v>951</v>
      </c>
      <c r="F25" s="193">
        <v>925.3</v>
      </c>
      <c r="G25" s="193">
        <v>880.05</v>
      </c>
      <c r="H25" s="193">
        <v>878.05</v>
      </c>
      <c r="I25" s="193">
        <v>889.5</v>
      </c>
      <c r="J25" s="192">
        <v>850.65</v>
      </c>
      <c r="K25" s="192">
        <v>858.5</v>
      </c>
      <c r="L25" s="192">
        <v>859.3</v>
      </c>
      <c r="M25" s="192">
        <v>901.7</v>
      </c>
      <c r="N25" s="192">
        <v>884</v>
      </c>
      <c r="O25" s="192">
        <v>880.5</v>
      </c>
      <c r="P25" s="192">
        <v>877.25</v>
      </c>
      <c r="Q25" s="192">
        <v>872.88</v>
      </c>
    </row>
    <row r="26" spans="1:17" ht="17.25" thickBot="1" x14ac:dyDescent="0.35">
      <c r="A26" s="203">
        <v>28001</v>
      </c>
      <c r="B26" s="20" t="s">
        <v>220</v>
      </c>
      <c r="C26" s="202" t="s">
        <v>220</v>
      </c>
      <c r="D26" s="193">
        <v>271.3</v>
      </c>
      <c r="E26" s="193">
        <v>273.89999999999998</v>
      </c>
      <c r="F26" s="193">
        <v>281.39999999999998</v>
      </c>
      <c r="G26" s="193">
        <v>284</v>
      </c>
      <c r="H26" s="193">
        <v>284</v>
      </c>
      <c r="I26" s="193">
        <v>259.25</v>
      </c>
      <c r="J26" s="192">
        <v>286</v>
      </c>
      <c r="K26" s="192">
        <v>270</v>
      </c>
      <c r="L26" s="192">
        <v>260</v>
      </c>
      <c r="M26" s="192">
        <v>261</v>
      </c>
      <c r="N26" s="192">
        <v>254</v>
      </c>
      <c r="O26" s="192">
        <v>274</v>
      </c>
      <c r="P26" s="192">
        <v>288</v>
      </c>
      <c r="Q26" s="192">
        <v>294</v>
      </c>
    </row>
    <row r="27" spans="1:17" ht="17.25" thickBot="1" x14ac:dyDescent="0.35">
      <c r="A27" s="203">
        <v>60001</v>
      </c>
      <c r="B27" s="20" t="s">
        <v>221</v>
      </c>
      <c r="C27" s="202" t="s">
        <v>221</v>
      </c>
      <c r="D27" s="193">
        <v>264</v>
      </c>
      <c r="E27" s="193">
        <v>246</v>
      </c>
      <c r="F27" s="193">
        <v>235</v>
      </c>
      <c r="G27" s="193">
        <v>243.2</v>
      </c>
      <c r="H27" s="193">
        <v>235</v>
      </c>
      <c r="I27" s="193">
        <v>224</v>
      </c>
      <c r="J27" s="192">
        <v>209</v>
      </c>
      <c r="K27" s="192">
        <v>220</v>
      </c>
      <c r="L27" s="192">
        <v>222</v>
      </c>
      <c r="M27" s="192">
        <v>228.13</v>
      </c>
      <c r="N27" s="192">
        <v>227.13</v>
      </c>
      <c r="O27" s="192">
        <v>225.13</v>
      </c>
      <c r="P27" s="192">
        <v>266.39</v>
      </c>
      <c r="Q27" s="192">
        <v>273.39</v>
      </c>
    </row>
    <row r="28" spans="1:17" ht="17.25" thickBot="1" x14ac:dyDescent="0.35">
      <c r="A28" s="203">
        <v>7001</v>
      </c>
      <c r="B28" s="20" t="s">
        <v>222</v>
      </c>
      <c r="C28" s="202" t="s">
        <v>222</v>
      </c>
      <c r="D28" s="193">
        <v>861.2</v>
      </c>
      <c r="E28" s="193">
        <v>856</v>
      </c>
      <c r="F28" s="193">
        <v>884</v>
      </c>
      <c r="G28" s="193">
        <v>861.38</v>
      </c>
      <c r="H28" s="193">
        <v>857.75</v>
      </c>
      <c r="I28" s="193">
        <v>900.9</v>
      </c>
      <c r="J28" s="192">
        <v>907.95</v>
      </c>
      <c r="K28" s="192">
        <v>902.45</v>
      </c>
      <c r="L28" s="192">
        <v>911</v>
      </c>
      <c r="M28" s="192">
        <v>879.21</v>
      </c>
      <c r="N28" s="192">
        <v>902.51</v>
      </c>
      <c r="O28" s="192">
        <v>872.28</v>
      </c>
      <c r="P28" s="192">
        <v>900.08</v>
      </c>
      <c r="Q28" s="192">
        <v>885.51</v>
      </c>
    </row>
    <row r="29" spans="1:17" ht="17.25" thickBot="1" x14ac:dyDescent="0.35">
      <c r="A29" s="203">
        <v>39001</v>
      </c>
      <c r="B29" s="20" t="s">
        <v>223</v>
      </c>
      <c r="C29" s="202" t="s">
        <v>376</v>
      </c>
      <c r="D29" s="193">
        <v>356</v>
      </c>
      <c r="E29" s="193">
        <v>428.39</v>
      </c>
      <c r="F29" s="193">
        <v>560.99</v>
      </c>
      <c r="G29" s="193">
        <v>554.84</v>
      </c>
      <c r="H29" s="193">
        <v>575</v>
      </c>
      <c r="I29" s="193">
        <v>579</v>
      </c>
      <c r="J29" s="192">
        <v>562</v>
      </c>
      <c r="K29" s="192">
        <v>561</v>
      </c>
      <c r="L29" s="192">
        <v>564.4</v>
      </c>
      <c r="M29" s="192">
        <v>611</v>
      </c>
      <c r="N29" s="192">
        <v>587</v>
      </c>
      <c r="O29" s="192">
        <v>586</v>
      </c>
      <c r="P29" s="192">
        <v>561</v>
      </c>
      <c r="Q29" s="192">
        <v>531</v>
      </c>
    </row>
    <row r="30" spans="1:17" ht="17.25" thickBot="1" x14ac:dyDescent="0.35">
      <c r="A30" s="203">
        <v>12002</v>
      </c>
      <c r="B30" s="20" t="s">
        <v>224</v>
      </c>
      <c r="C30" s="202" t="s">
        <v>224</v>
      </c>
      <c r="D30" s="193">
        <v>407</v>
      </c>
      <c r="E30" s="193">
        <v>398.5</v>
      </c>
      <c r="F30" s="193">
        <v>376.5</v>
      </c>
      <c r="G30" s="193">
        <v>370</v>
      </c>
      <c r="H30" s="193">
        <v>379</v>
      </c>
      <c r="I30" s="193">
        <v>355</v>
      </c>
      <c r="J30" s="192">
        <v>359.9</v>
      </c>
      <c r="K30" s="192">
        <v>359</v>
      </c>
      <c r="L30" s="192">
        <v>372</v>
      </c>
      <c r="M30" s="192">
        <v>369</v>
      </c>
      <c r="N30" s="192">
        <v>369</v>
      </c>
      <c r="O30" s="192">
        <v>351</v>
      </c>
      <c r="P30" s="192">
        <v>356</v>
      </c>
      <c r="Q30" s="192">
        <v>376</v>
      </c>
    </row>
    <row r="31" spans="1:17" ht="17.25" thickBot="1" x14ac:dyDescent="0.35">
      <c r="A31" s="203">
        <v>50005</v>
      </c>
      <c r="B31" s="20" t="s">
        <v>225</v>
      </c>
      <c r="C31" s="202" t="s">
        <v>225</v>
      </c>
      <c r="D31" s="193">
        <v>273</v>
      </c>
      <c r="E31" s="193">
        <v>264</v>
      </c>
      <c r="F31" s="193">
        <v>256</v>
      </c>
      <c r="G31" s="193">
        <v>262</v>
      </c>
      <c r="H31" s="193">
        <v>253</v>
      </c>
      <c r="I31" s="193">
        <v>260</v>
      </c>
      <c r="J31" s="192">
        <v>260</v>
      </c>
      <c r="K31" s="192">
        <v>247</v>
      </c>
      <c r="L31" s="192">
        <v>243</v>
      </c>
      <c r="M31" s="192">
        <v>259</v>
      </c>
      <c r="N31" s="192">
        <v>259</v>
      </c>
      <c r="O31" s="192">
        <v>250</v>
      </c>
      <c r="P31" s="192">
        <v>247</v>
      </c>
      <c r="Q31" s="192">
        <v>252.6</v>
      </c>
    </row>
    <row r="32" spans="1:17" ht="17.25" thickBot="1" x14ac:dyDescent="0.35">
      <c r="A32" s="203">
        <v>59003</v>
      </c>
      <c r="B32" s="20" t="s">
        <v>226</v>
      </c>
      <c r="C32" s="202" t="s">
        <v>226</v>
      </c>
      <c r="D32" s="193"/>
      <c r="E32" s="193"/>
      <c r="F32" s="193"/>
      <c r="G32" s="193"/>
      <c r="H32" s="193">
        <v>265</v>
      </c>
      <c r="I32" s="193">
        <v>276</v>
      </c>
      <c r="J32" s="192">
        <v>256</v>
      </c>
      <c r="K32" s="192">
        <v>263</v>
      </c>
      <c r="L32" s="192">
        <v>248</v>
      </c>
      <c r="M32" s="192">
        <v>239</v>
      </c>
      <c r="N32" s="192">
        <v>234</v>
      </c>
      <c r="O32" s="192">
        <v>228</v>
      </c>
      <c r="P32" s="192">
        <v>224</v>
      </c>
      <c r="Q32" s="192">
        <v>229</v>
      </c>
    </row>
    <row r="33" spans="1:17" ht="17.25" thickBot="1" x14ac:dyDescent="0.35">
      <c r="A33" s="203">
        <v>21003</v>
      </c>
      <c r="B33" s="20" t="s">
        <v>227</v>
      </c>
      <c r="C33" s="202" t="s">
        <v>227</v>
      </c>
      <c r="D33" s="193"/>
      <c r="E33" s="193"/>
      <c r="F33" s="193"/>
      <c r="G33" s="193"/>
      <c r="H33" s="193"/>
      <c r="I33" s="193"/>
      <c r="J33" s="192"/>
      <c r="K33" s="192"/>
      <c r="L33" s="192"/>
      <c r="M33" s="192"/>
      <c r="N33" s="192">
        <v>230</v>
      </c>
      <c r="O33" s="192">
        <v>246</v>
      </c>
      <c r="P33" s="192">
        <v>251</v>
      </c>
      <c r="Q33" s="192">
        <v>253</v>
      </c>
    </row>
    <row r="34" spans="1:17" ht="17.25" thickBot="1" x14ac:dyDescent="0.35">
      <c r="A34" s="203">
        <v>16001</v>
      </c>
      <c r="B34" s="20" t="s">
        <v>228</v>
      </c>
      <c r="C34" s="202" t="s">
        <v>228</v>
      </c>
      <c r="D34" s="193">
        <v>970.6</v>
      </c>
      <c r="E34" s="193">
        <v>943.2</v>
      </c>
      <c r="F34" s="193">
        <v>915.8</v>
      </c>
      <c r="G34" s="193">
        <v>914</v>
      </c>
      <c r="H34" s="193">
        <v>887</v>
      </c>
      <c r="I34" s="193">
        <v>889</v>
      </c>
      <c r="J34" s="192">
        <v>874.14</v>
      </c>
      <c r="K34" s="192">
        <v>865.28</v>
      </c>
      <c r="L34" s="192">
        <v>857.14</v>
      </c>
      <c r="M34" s="192">
        <v>863.73</v>
      </c>
      <c r="N34" s="192">
        <v>873.38</v>
      </c>
      <c r="O34" s="192">
        <v>881.16</v>
      </c>
      <c r="P34" s="192">
        <v>897.02</v>
      </c>
      <c r="Q34" s="192">
        <v>958.86</v>
      </c>
    </row>
    <row r="35" spans="1:17" ht="17.25" thickBot="1" x14ac:dyDescent="0.35">
      <c r="A35" s="203">
        <v>61008</v>
      </c>
      <c r="B35" s="20" t="s">
        <v>229</v>
      </c>
      <c r="C35" s="202" t="s">
        <v>229</v>
      </c>
      <c r="D35" s="193">
        <v>925</v>
      </c>
      <c r="E35" s="193">
        <v>971.75</v>
      </c>
      <c r="F35" s="193">
        <v>1007</v>
      </c>
      <c r="G35" s="193">
        <v>1047</v>
      </c>
      <c r="H35" s="193">
        <v>1093.02</v>
      </c>
      <c r="I35" s="193">
        <v>1118.81</v>
      </c>
      <c r="J35" s="192">
        <v>1147.69</v>
      </c>
      <c r="K35" s="192">
        <v>1195.76</v>
      </c>
      <c r="L35" s="192">
        <v>1235.8399999999999</v>
      </c>
      <c r="M35" s="192">
        <v>1252.8800000000001</v>
      </c>
      <c r="N35" s="192">
        <v>1285.48</v>
      </c>
      <c r="O35" s="192">
        <v>1294.78</v>
      </c>
      <c r="P35" s="192">
        <v>1300.47</v>
      </c>
      <c r="Q35" s="192">
        <v>1355.41</v>
      </c>
    </row>
    <row r="36" spans="1:17" ht="17.25" thickBot="1" x14ac:dyDescent="0.35">
      <c r="A36" s="203">
        <v>38002</v>
      </c>
      <c r="B36" s="20" t="s">
        <v>230</v>
      </c>
      <c r="C36" s="202" t="s">
        <v>230</v>
      </c>
      <c r="D36" s="193">
        <v>282</v>
      </c>
      <c r="E36" s="193">
        <v>282</v>
      </c>
      <c r="F36" s="193">
        <v>299</v>
      </c>
      <c r="G36" s="193">
        <v>288</v>
      </c>
      <c r="H36" s="193">
        <v>320</v>
      </c>
      <c r="I36" s="193">
        <v>334</v>
      </c>
      <c r="J36" s="192">
        <v>336</v>
      </c>
      <c r="K36" s="192">
        <v>312</v>
      </c>
      <c r="L36" s="192">
        <v>314</v>
      </c>
      <c r="M36" s="192">
        <v>307</v>
      </c>
      <c r="N36" s="192">
        <v>286</v>
      </c>
      <c r="O36" s="192">
        <v>308</v>
      </c>
      <c r="P36" s="192">
        <v>302</v>
      </c>
      <c r="Q36" s="192">
        <v>285</v>
      </c>
    </row>
    <row r="37" spans="1:17" ht="17.25" thickBot="1" x14ac:dyDescent="0.35">
      <c r="A37" s="203">
        <v>49003</v>
      </c>
      <c r="B37" s="20" t="s">
        <v>231</v>
      </c>
      <c r="C37" s="202" t="s">
        <v>231</v>
      </c>
      <c r="D37" s="193">
        <v>961.54</v>
      </c>
      <c r="E37" s="193">
        <v>952.53</v>
      </c>
      <c r="F37" s="193">
        <v>963.13</v>
      </c>
      <c r="G37" s="193">
        <v>924.51</v>
      </c>
      <c r="H37" s="193">
        <v>891.07</v>
      </c>
      <c r="I37" s="193">
        <v>867.49</v>
      </c>
      <c r="J37" s="192">
        <v>919.72</v>
      </c>
      <c r="K37" s="192">
        <v>913.36</v>
      </c>
      <c r="L37" s="192">
        <v>919.18</v>
      </c>
      <c r="M37" s="192">
        <v>913.18</v>
      </c>
      <c r="N37" s="192">
        <v>902.88</v>
      </c>
      <c r="O37" s="192">
        <v>912.02</v>
      </c>
      <c r="P37" s="192">
        <v>938.13</v>
      </c>
      <c r="Q37" s="192">
        <v>951.27</v>
      </c>
    </row>
    <row r="38" spans="1:17" ht="17.25" thickBot="1" x14ac:dyDescent="0.35">
      <c r="A38" s="203">
        <v>5006</v>
      </c>
      <c r="B38" s="20" t="s">
        <v>232</v>
      </c>
      <c r="C38" s="202" t="s">
        <v>375</v>
      </c>
      <c r="D38" s="193">
        <v>385</v>
      </c>
      <c r="E38" s="193">
        <v>386</v>
      </c>
      <c r="F38" s="193">
        <v>383</v>
      </c>
      <c r="G38" s="193">
        <v>373</v>
      </c>
      <c r="H38" s="193">
        <v>364</v>
      </c>
      <c r="I38" s="193">
        <v>362</v>
      </c>
      <c r="J38" s="192">
        <v>345.7</v>
      </c>
      <c r="K38" s="192">
        <v>353</v>
      </c>
      <c r="L38" s="192">
        <v>344</v>
      </c>
      <c r="M38" s="192">
        <v>368</v>
      </c>
      <c r="N38" s="192">
        <v>367</v>
      </c>
      <c r="O38" s="192">
        <v>344</v>
      </c>
      <c r="P38" s="192">
        <v>365</v>
      </c>
      <c r="Q38" s="192">
        <v>379</v>
      </c>
    </row>
    <row r="39" spans="1:17" ht="17.25" thickBot="1" x14ac:dyDescent="0.35">
      <c r="A39" s="203">
        <v>19004</v>
      </c>
      <c r="B39" s="20" t="s">
        <v>233</v>
      </c>
      <c r="C39" s="202" t="s">
        <v>233</v>
      </c>
      <c r="D39" s="193">
        <v>541</v>
      </c>
      <c r="E39" s="193">
        <v>542</v>
      </c>
      <c r="F39" s="193">
        <v>536.5</v>
      </c>
      <c r="G39" s="193">
        <v>520.01</v>
      </c>
      <c r="H39" s="193">
        <v>516</v>
      </c>
      <c r="I39" s="193">
        <v>497</v>
      </c>
      <c r="J39" s="192">
        <v>491</v>
      </c>
      <c r="K39" s="192">
        <v>495</v>
      </c>
      <c r="L39" s="192">
        <v>499</v>
      </c>
      <c r="M39" s="192">
        <v>509.51</v>
      </c>
      <c r="N39" s="192">
        <v>502.85</v>
      </c>
      <c r="O39" s="192">
        <v>482</v>
      </c>
      <c r="P39" s="192">
        <v>490.25</v>
      </c>
      <c r="Q39" s="192">
        <v>513.25</v>
      </c>
    </row>
    <row r="40" spans="1:17" ht="17.25" thickBot="1" x14ac:dyDescent="0.35">
      <c r="A40" s="203">
        <v>56002</v>
      </c>
      <c r="B40" s="20" t="s">
        <v>234</v>
      </c>
      <c r="C40" s="202" t="s">
        <v>234</v>
      </c>
      <c r="D40" s="193">
        <v>159</v>
      </c>
      <c r="E40" s="193">
        <v>166</v>
      </c>
      <c r="F40" s="193">
        <v>162</v>
      </c>
      <c r="G40" s="193">
        <v>146</v>
      </c>
      <c r="H40" s="193">
        <v>160</v>
      </c>
      <c r="I40" s="193">
        <v>158</v>
      </c>
      <c r="J40" s="192">
        <v>158</v>
      </c>
      <c r="K40" s="192">
        <v>158</v>
      </c>
      <c r="L40" s="192">
        <v>167</v>
      </c>
      <c r="M40" s="192">
        <v>167</v>
      </c>
      <c r="N40" s="192">
        <v>179</v>
      </c>
      <c r="O40" s="192">
        <v>170</v>
      </c>
      <c r="P40" s="192">
        <v>174</v>
      </c>
      <c r="Q40" s="192">
        <v>160</v>
      </c>
    </row>
    <row r="41" spans="1:17" ht="17.25" thickBot="1" x14ac:dyDescent="0.35">
      <c r="A41" s="203">
        <v>51001</v>
      </c>
      <c r="B41" s="20" t="s">
        <v>235</v>
      </c>
      <c r="C41" s="202" t="s">
        <v>235</v>
      </c>
      <c r="D41" s="193">
        <v>2333</v>
      </c>
      <c r="E41" s="193">
        <v>2306</v>
      </c>
      <c r="F41" s="193">
        <v>2299</v>
      </c>
      <c r="G41" s="193">
        <v>2375</v>
      </c>
      <c r="H41" s="193">
        <v>2463</v>
      </c>
      <c r="I41" s="193">
        <v>2521</v>
      </c>
      <c r="J41" s="192">
        <v>2553</v>
      </c>
      <c r="K41" s="192">
        <v>2530</v>
      </c>
      <c r="L41" s="192">
        <v>2655</v>
      </c>
      <c r="M41" s="192">
        <v>2676.15</v>
      </c>
      <c r="N41" s="192">
        <v>2759</v>
      </c>
      <c r="O41" s="192">
        <v>2788</v>
      </c>
      <c r="P41" s="192">
        <v>2924.58</v>
      </c>
      <c r="Q41" s="192">
        <v>2907</v>
      </c>
    </row>
    <row r="42" spans="1:17" ht="17.25" thickBot="1" x14ac:dyDescent="0.35">
      <c r="A42" s="203">
        <v>64002</v>
      </c>
      <c r="B42" s="20" t="s">
        <v>236</v>
      </c>
      <c r="C42" s="202" t="s">
        <v>236</v>
      </c>
      <c r="D42" s="193">
        <v>271.02999999999997</v>
      </c>
      <c r="E42" s="193">
        <v>301</v>
      </c>
      <c r="F42" s="193">
        <v>328</v>
      </c>
      <c r="G42" s="193">
        <v>310</v>
      </c>
      <c r="H42" s="193">
        <v>339</v>
      </c>
      <c r="I42" s="193">
        <v>313</v>
      </c>
      <c r="J42" s="192">
        <v>319</v>
      </c>
      <c r="K42" s="192">
        <v>360</v>
      </c>
      <c r="L42" s="192">
        <v>377</v>
      </c>
      <c r="M42" s="192">
        <v>368</v>
      </c>
      <c r="N42" s="192">
        <v>380</v>
      </c>
      <c r="O42" s="192">
        <v>389</v>
      </c>
      <c r="P42" s="192">
        <v>374.95</v>
      </c>
      <c r="Q42" s="192">
        <v>362</v>
      </c>
    </row>
    <row r="43" spans="1:17" ht="17.25" thickBot="1" x14ac:dyDescent="0.35">
      <c r="A43" s="203">
        <v>20001</v>
      </c>
      <c r="B43" s="20" t="s">
        <v>237</v>
      </c>
      <c r="C43" s="202" t="s">
        <v>237</v>
      </c>
      <c r="D43" s="193">
        <v>352</v>
      </c>
      <c r="E43" s="193">
        <v>353</v>
      </c>
      <c r="F43" s="193">
        <v>298</v>
      </c>
      <c r="G43" s="193">
        <v>283</v>
      </c>
      <c r="H43" s="193">
        <v>270.01</v>
      </c>
      <c r="I43" s="193">
        <v>293</v>
      </c>
      <c r="J43" s="192">
        <v>313</v>
      </c>
      <c r="K43" s="192">
        <v>290</v>
      </c>
      <c r="L43" s="192">
        <v>333</v>
      </c>
      <c r="M43" s="192">
        <v>339</v>
      </c>
      <c r="N43" s="192">
        <v>353.02</v>
      </c>
      <c r="O43" s="192">
        <v>331.02</v>
      </c>
      <c r="P43" s="192">
        <v>355.01</v>
      </c>
      <c r="Q43" s="192">
        <v>345.01</v>
      </c>
    </row>
    <row r="44" spans="1:17" ht="17.25" thickBot="1" x14ac:dyDescent="0.35">
      <c r="A44" s="203">
        <v>23001</v>
      </c>
      <c r="B44" s="20" t="s">
        <v>238</v>
      </c>
      <c r="C44" s="202" t="s">
        <v>238</v>
      </c>
      <c r="D44" s="193">
        <v>138</v>
      </c>
      <c r="E44" s="193">
        <v>150</v>
      </c>
      <c r="F44" s="193">
        <v>127</v>
      </c>
      <c r="G44" s="193">
        <v>137</v>
      </c>
      <c r="H44" s="193">
        <v>151.96</v>
      </c>
      <c r="I44" s="193">
        <v>154.26</v>
      </c>
      <c r="J44" s="192">
        <v>169</v>
      </c>
      <c r="K44" s="192">
        <v>170</v>
      </c>
      <c r="L44" s="192">
        <v>164</v>
      </c>
      <c r="M44" s="192">
        <v>156</v>
      </c>
      <c r="N44" s="192">
        <v>150</v>
      </c>
      <c r="O44" s="192">
        <v>142.13999999999999</v>
      </c>
      <c r="P44" s="192">
        <v>153.29</v>
      </c>
      <c r="Q44" s="192">
        <v>159.13999999999999</v>
      </c>
    </row>
    <row r="45" spans="1:17" ht="17.25" thickBot="1" x14ac:dyDescent="0.35">
      <c r="A45" s="203">
        <v>22005</v>
      </c>
      <c r="B45" s="20" t="s">
        <v>239</v>
      </c>
      <c r="C45" s="202" t="s">
        <v>239</v>
      </c>
      <c r="D45" s="193">
        <v>145</v>
      </c>
      <c r="E45" s="193">
        <v>136</v>
      </c>
      <c r="F45" s="193">
        <v>134</v>
      </c>
      <c r="G45" s="193">
        <v>137</v>
      </c>
      <c r="H45" s="193">
        <v>142</v>
      </c>
      <c r="I45" s="193">
        <v>139</v>
      </c>
      <c r="J45" s="192">
        <v>141</v>
      </c>
      <c r="K45" s="192">
        <v>133</v>
      </c>
      <c r="L45" s="192">
        <v>133</v>
      </c>
      <c r="M45" s="192">
        <v>130</v>
      </c>
      <c r="N45" s="192">
        <v>132</v>
      </c>
      <c r="O45" s="192">
        <v>128</v>
      </c>
      <c r="P45" s="192">
        <v>147</v>
      </c>
      <c r="Q45" s="192">
        <v>140</v>
      </c>
    </row>
    <row r="46" spans="1:17" ht="17.25" thickBot="1" x14ac:dyDescent="0.35">
      <c r="A46" s="203">
        <v>16002</v>
      </c>
      <c r="B46" s="20" t="s">
        <v>240</v>
      </c>
      <c r="C46" s="202" t="s">
        <v>240</v>
      </c>
      <c r="D46" s="193">
        <v>37</v>
      </c>
      <c r="E46" s="193">
        <v>26</v>
      </c>
      <c r="F46" s="193">
        <v>37</v>
      </c>
      <c r="G46" s="193">
        <v>30</v>
      </c>
      <c r="H46" s="193">
        <v>30</v>
      </c>
      <c r="I46" s="193">
        <v>25</v>
      </c>
      <c r="J46" s="192">
        <v>10</v>
      </c>
      <c r="K46" s="192">
        <v>8</v>
      </c>
      <c r="L46" s="192">
        <v>12</v>
      </c>
      <c r="M46" s="192">
        <v>6</v>
      </c>
      <c r="N46" s="192">
        <v>7</v>
      </c>
      <c r="O46" s="192">
        <v>11</v>
      </c>
      <c r="P46" s="192">
        <v>10</v>
      </c>
      <c r="Q46" s="192">
        <v>13</v>
      </c>
    </row>
    <row r="47" spans="1:17" ht="17.25" thickBot="1" x14ac:dyDescent="0.35">
      <c r="A47" s="203">
        <v>61007</v>
      </c>
      <c r="B47" s="20" t="s">
        <v>241</v>
      </c>
      <c r="C47" s="202" t="s">
        <v>241</v>
      </c>
      <c r="D47" s="193">
        <v>685</v>
      </c>
      <c r="E47" s="193">
        <v>701.87</v>
      </c>
      <c r="F47" s="193">
        <v>717.99</v>
      </c>
      <c r="G47" s="193">
        <v>726</v>
      </c>
      <c r="H47" s="193">
        <v>713.01</v>
      </c>
      <c r="I47" s="193">
        <v>713</v>
      </c>
      <c r="J47" s="192">
        <v>689.14</v>
      </c>
      <c r="K47" s="192">
        <v>692.01</v>
      </c>
      <c r="L47" s="192">
        <v>688.86</v>
      </c>
      <c r="M47" s="192">
        <v>705</v>
      </c>
      <c r="N47" s="192">
        <v>686</v>
      </c>
      <c r="O47" s="192">
        <v>655</v>
      </c>
      <c r="P47" s="192">
        <v>687</v>
      </c>
      <c r="Q47" s="192">
        <v>687</v>
      </c>
    </row>
    <row r="48" spans="1:17" ht="17.25" thickBot="1" x14ac:dyDescent="0.35">
      <c r="A48" s="203">
        <v>5003</v>
      </c>
      <c r="B48" s="20" t="s">
        <v>242</v>
      </c>
      <c r="C48" s="202" t="s">
        <v>242</v>
      </c>
      <c r="D48" s="193">
        <v>275</v>
      </c>
      <c r="E48" s="193">
        <v>268</v>
      </c>
      <c r="F48" s="193">
        <v>239.5</v>
      </c>
      <c r="G48" s="193">
        <v>224.57</v>
      </c>
      <c r="H48" s="193">
        <v>256</v>
      </c>
      <c r="I48" s="193">
        <v>273</v>
      </c>
      <c r="J48" s="192">
        <v>282</v>
      </c>
      <c r="K48" s="192">
        <v>269</v>
      </c>
      <c r="L48" s="192">
        <v>260</v>
      </c>
      <c r="M48" s="192">
        <v>267</v>
      </c>
      <c r="N48" s="192">
        <v>279</v>
      </c>
      <c r="O48" s="192">
        <v>298</v>
      </c>
      <c r="P48" s="192">
        <v>310</v>
      </c>
      <c r="Q48" s="192">
        <v>322</v>
      </c>
    </row>
    <row r="49" spans="1:17" ht="17.25" thickBot="1" x14ac:dyDescent="0.35">
      <c r="A49" s="203">
        <v>28002</v>
      </c>
      <c r="B49" s="20" t="s">
        <v>243</v>
      </c>
      <c r="C49" s="202" t="s">
        <v>243</v>
      </c>
      <c r="D49" s="193">
        <v>296</v>
      </c>
      <c r="E49" s="193">
        <v>278</v>
      </c>
      <c r="F49" s="193">
        <v>264</v>
      </c>
      <c r="G49" s="193">
        <v>251.03</v>
      </c>
      <c r="H49" s="193">
        <v>254.01</v>
      </c>
      <c r="I49" s="193">
        <v>242</v>
      </c>
      <c r="J49" s="192">
        <v>243</v>
      </c>
      <c r="K49" s="192">
        <v>266</v>
      </c>
      <c r="L49" s="192">
        <v>254</v>
      </c>
      <c r="M49" s="192">
        <v>254</v>
      </c>
      <c r="N49" s="192">
        <v>245</v>
      </c>
      <c r="O49" s="192">
        <v>261</v>
      </c>
      <c r="P49" s="192">
        <v>271</v>
      </c>
      <c r="Q49" s="192">
        <v>261</v>
      </c>
    </row>
    <row r="50" spans="1:17" ht="17.25" thickBot="1" x14ac:dyDescent="0.35">
      <c r="A50" s="203">
        <v>17001</v>
      </c>
      <c r="B50" s="20" t="s">
        <v>244</v>
      </c>
      <c r="C50" s="202" t="s">
        <v>244</v>
      </c>
      <c r="D50" s="193">
        <v>209.31</v>
      </c>
      <c r="E50" s="193">
        <v>223</v>
      </c>
      <c r="F50" s="193">
        <v>233.5</v>
      </c>
      <c r="G50" s="193">
        <v>231</v>
      </c>
      <c r="H50" s="193">
        <v>223</v>
      </c>
      <c r="I50" s="193">
        <v>232</v>
      </c>
      <c r="J50" s="192">
        <v>225.5</v>
      </c>
      <c r="K50" s="192">
        <v>240.8</v>
      </c>
      <c r="L50" s="192">
        <v>245.6</v>
      </c>
      <c r="M50" s="192">
        <v>240.6</v>
      </c>
      <c r="N50" s="192">
        <v>239</v>
      </c>
      <c r="O50" s="192">
        <v>250</v>
      </c>
      <c r="P50" s="192">
        <v>248</v>
      </c>
      <c r="Q50" s="192">
        <v>269.8</v>
      </c>
    </row>
    <row r="51" spans="1:17" ht="17.25" thickBot="1" x14ac:dyDescent="0.35">
      <c r="A51" s="203">
        <v>44001</v>
      </c>
      <c r="B51" s="20" t="s">
        <v>245</v>
      </c>
      <c r="C51" s="202" t="s">
        <v>245</v>
      </c>
      <c r="D51" s="193">
        <v>199</v>
      </c>
      <c r="E51" s="193">
        <v>182</v>
      </c>
      <c r="F51" s="193">
        <v>183</v>
      </c>
      <c r="G51" s="193">
        <v>183</v>
      </c>
      <c r="H51" s="193">
        <v>185</v>
      </c>
      <c r="I51" s="193">
        <v>167</v>
      </c>
      <c r="J51" s="192">
        <v>148</v>
      </c>
      <c r="K51" s="192">
        <v>138</v>
      </c>
      <c r="L51" s="192">
        <v>140</v>
      </c>
      <c r="M51" s="192">
        <v>135</v>
      </c>
      <c r="N51" s="192">
        <v>138</v>
      </c>
      <c r="O51" s="192">
        <v>151</v>
      </c>
      <c r="P51" s="192">
        <v>153</v>
      </c>
      <c r="Q51" s="192">
        <v>156.97999999999999</v>
      </c>
    </row>
    <row r="52" spans="1:17" ht="17.25" thickBot="1" x14ac:dyDescent="0.35">
      <c r="A52" s="203">
        <v>46002</v>
      </c>
      <c r="B52" s="20" t="s">
        <v>246</v>
      </c>
      <c r="C52" s="202" t="s">
        <v>246</v>
      </c>
      <c r="D52" s="193">
        <v>208</v>
      </c>
      <c r="E52" s="193">
        <v>211</v>
      </c>
      <c r="F52" s="193">
        <v>197</v>
      </c>
      <c r="G52" s="193">
        <v>193</v>
      </c>
      <c r="H52" s="193">
        <v>199</v>
      </c>
      <c r="I52" s="193">
        <v>206</v>
      </c>
      <c r="J52" s="192">
        <v>191</v>
      </c>
      <c r="K52" s="192">
        <v>189</v>
      </c>
      <c r="L52" s="192">
        <v>188</v>
      </c>
      <c r="M52" s="192">
        <v>196</v>
      </c>
      <c r="N52" s="192">
        <v>185</v>
      </c>
      <c r="O52" s="192">
        <v>173</v>
      </c>
      <c r="P52" s="192">
        <v>164</v>
      </c>
      <c r="Q52" s="192">
        <v>177</v>
      </c>
    </row>
    <row r="53" spans="1:17" ht="17.25" thickBot="1" x14ac:dyDescent="0.35">
      <c r="A53" s="203">
        <v>24004</v>
      </c>
      <c r="B53" s="20" t="s">
        <v>247</v>
      </c>
      <c r="C53" s="202" t="s">
        <v>247</v>
      </c>
      <c r="D53" s="193"/>
      <c r="E53" s="193"/>
      <c r="F53" s="193"/>
      <c r="G53" s="193">
        <v>330</v>
      </c>
      <c r="H53" s="193">
        <v>319</v>
      </c>
      <c r="I53" s="193">
        <v>322</v>
      </c>
      <c r="J53" s="192">
        <v>316</v>
      </c>
      <c r="K53" s="192">
        <v>311</v>
      </c>
      <c r="L53" s="192">
        <v>311</v>
      </c>
      <c r="M53" s="192">
        <v>314</v>
      </c>
      <c r="N53" s="192">
        <v>302</v>
      </c>
      <c r="O53" s="192">
        <v>308</v>
      </c>
      <c r="P53" s="192">
        <v>306</v>
      </c>
      <c r="Q53" s="192">
        <v>311</v>
      </c>
    </row>
    <row r="54" spans="1:17" ht="17.25" thickBot="1" x14ac:dyDescent="0.35">
      <c r="A54" s="203">
        <v>50003</v>
      </c>
      <c r="B54" s="20" t="s">
        <v>248</v>
      </c>
      <c r="C54" s="202" t="s">
        <v>248</v>
      </c>
      <c r="D54" s="193">
        <v>666.5</v>
      </c>
      <c r="E54" s="193">
        <v>651</v>
      </c>
      <c r="F54" s="193">
        <v>622.58000000000004</v>
      </c>
      <c r="G54" s="193">
        <v>598</v>
      </c>
      <c r="H54" s="193">
        <v>613.71</v>
      </c>
      <c r="I54" s="193">
        <v>637.41999999999996</v>
      </c>
      <c r="J54" s="192">
        <v>644.41999999999996</v>
      </c>
      <c r="K54" s="192">
        <v>655.56</v>
      </c>
      <c r="L54" s="192">
        <v>639.70000000000005</v>
      </c>
      <c r="M54" s="192">
        <v>656.84</v>
      </c>
      <c r="N54" s="192">
        <v>669.7</v>
      </c>
      <c r="O54" s="192">
        <v>683.7</v>
      </c>
      <c r="P54" s="192">
        <v>683.84</v>
      </c>
      <c r="Q54" s="192">
        <v>690.28</v>
      </c>
    </row>
    <row r="55" spans="1:17" ht="17.25" thickBot="1" x14ac:dyDescent="0.35">
      <c r="A55" s="203">
        <v>14001</v>
      </c>
      <c r="B55" s="20" t="s">
        <v>249</v>
      </c>
      <c r="C55" s="202" t="s">
        <v>249</v>
      </c>
      <c r="D55" s="193">
        <v>242</v>
      </c>
      <c r="E55" s="193">
        <v>230.7</v>
      </c>
      <c r="F55" s="193">
        <v>237.7</v>
      </c>
      <c r="G55" s="193">
        <v>225</v>
      </c>
      <c r="H55" s="193">
        <v>224.86</v>
      </c>
      <c r="I55" s="193">
        <v>215</v>
      </c>
      <c r="J55" s="192">
        <v>211</v>
      </c>
      <c r="K55" s="192">
        <v>203</v>
      </c>
      <c r="L55" s="192">
        <v>207</v>
      </c>
      <c r="M55" s="192">
        <v>226</v>
      </c>
      <c r="N55" s="192">
        <v>237</v>
      </c>
      <c r="O55" s="192">
        <v>247</v>
      </c>
      <c r="P55" s="192">
        <v>256</v>
      </c>
      <c r="Q55" s="192">
        <v>257</v>
      </c>
    </row>
    <row r="56" spans="1:17" ht="17.25" thickBot="1" x14ac:dyDescent="0.35">
      <c r="A56" s="203">
        <v>6002</v>
      </c>
      <c r="B56" s="20" t="s">
        <v>250</v>
      </c>
      <c r="C56" s="202" t="s">
        <v>250</v>
      </c>
      <c r="D56" s="193">
        <v>215</v>
      </c>
      <c r="E56" s="193">
        <v>210</v>
      </c>
      <c r="F56" s="193">
        <v>202</v>
      </c>
      <c r="G56" s="193">
        <v>198</v>
      </c>
      <c r="H56" s="193">
        <v>196.2</v>
      </c>
      <c r="I56" s="193">
        <v>181.99</v>
      </c>
      <c r="J56" s="192">
        <v>186</v>
      </c>
      <c r="K56" s="192">
        <v>190</v>
      </c>
      <c r="L56" s="192">
        <v>174</v>
      </c>
      <c r="M56" s="192">
        <v>167.3</v>
      </c>
      <c r="N56" s="192">
        <v>158.30000000000001</v>
      </c>
      <c r="O56" s="192">
        <v>165.3</v>
      </c>
      <c r="P56" s="192">
        <v>160.6</v>
      </c>
      <c r="Q56" s="192">
        <v>163</v>
      </c>
    </row>
    <row r="57" spans="1:17" ht="17.25" thickBot="1" x14ac:dyDescent="0.35">
      <c r="A57" s="203">
        <v>33001</v>
      </c>
      <c r="B57" s="20" t="s">
        <v>251</v>
      </c>
      <c r="C57" s="202" t="s">
        <v>251</v>
      </c>
      <c r="D57" s="193">
        <v>382.15</v>
      </c>
      <c r="E57" s="193">
        <v>390.12</v>
      </c>
      <c r="F57" s="193">
        <v>371.52</v>
      </c>
      <c r="G57" s="193">
        <v>376.3</v>
      </c>
      <c r="H57" s="193">
        <v>379.13</v>
      </c>
      <c r="I57" s="193">
        <v>363.04</v>
      </c>
      <c r="J57" s="192">
        <v>376.02</v>
      </c>
      <c r="K57" s="192">
        <v>354.09</v>
      </c>
      <c r="L57" s="192">
        <v>339.1</v>
      </c>
      <c r="M57" s="192">
        <v>311.08</v>
      </c>
      <c r="N57" s="192">
        <v>318.02</v>
      </c>
      <c r="O57" s="192">
        <v>303.02</v>
      </c>
      <c r="P57" s="192">
        <v>318.02</v>
      </c>
      <c r="Q57" s="192">
        <v>320.02999999999997</v>
      </c>
    </row>
    <row r="58" spans="1:17" ht="17.25" thickBot="1" x14ac:dyDescent="0.35">
      <c r="A58" s="203">
        <v>49004</v>
      </c>
      <c r="B58" s="20" t="s">
        <v>252</v>
      </c>
      <c r="C58" s="202" t="s">
        <v>252</v>
      </c>
      <c r="D58" s="193">
        <v>489</v>
      </c>
      <c r="E58" s="193">
        <v>473</v>
      </c>
      <c r="F58" s="193">
        <v>480</v>
      </c>
      <c r="G58" s="193">
        <v>482</v>
      </c>
      <c r="H58" s="193">
        <v>523</v>
      </c>
      <c r="I58" s="193">
        <v>513</v>
      </c>
      <c r="J58" s="192">
        <v>527.15</v>
      </c>
      <c r="K58" s="192">
        <v>520</v>
      </c>
      <c r="L58" s="192">
        <v>494</v>
      </c>
      <c r="M58" s="192">
        <v>475</v>
      </c>
      <c r="N58" s="192">
        <v>474</v>
      </c>
      <c r="O58" s="192">
        <v>463</v>
      </c>
      <c r="P58" s="192">
        <v>477</v>
      </c>
      <c r="Q58" s="192">
        <v>480.43</v>
      </c>
    </row>
    <row r="59" spans="1:17" ht="17.25" thickBot="1" x14ac:dyDescent="0.35">
      <c r="A59" s="203">
        <v>63001</v>
      </c>
      <c r="B59" s="20" t="s">
        <v>253</v>
      </c>
      <c r="C59" s="202" t="s">
        <v>253</v>
      </c>
      <c r="D59" s="193">
        <v>274</v>
      </c>
      <c r="E59" s="193">
        <v>259</v>
      </c>
      <c r="F59" s="193">
        <v>250</v>
      </c>
      <c r="G59" s="193">
        <v>245</v>
      </c>
      <c r="H59" s="193">
        <v>251.13</v>
      </c>
      <c r="I59" s="193">
        <v>261</v>
      </c>
      <c r="J59" s="192">
        <v>274</v>
      </c>
      <c r="K59" s="192">
        <v>274</v>
      </c>
      <c r="L59" s="192">
        <v>275</v>
      </c>
      <c r="M59" s="192">
        <v>275.05</v>
      </c>
      <c r="N59" s="192">
        <v>287</v>
      </c>
      <c r="O59" s="192">
        <v>304</v>
      </c>
      <c r="P59" s="192">
        <v>279</v>
      </c>
      <c r="Q59" s="192">
        <v>293</v>
      </c>
    </row>
    <row r="60" spans="1:17" ht="17.25" thickBot="1" x14ac:dyDescent="0.35">
      <c r="A60" s="203">
        <v>53001</v>
      </c>
      <c r="B60" s="20" t="s">
        <v>254</v>
      </c>
      <c r="C60" s="202" t="s">
        <v>254</v>
      </c>
      <c r="D60" s="193">
        <v>296</v>
      </c>
      <c r="E60" s="193">
        <v>281.13</v>
      </c>
      <c r="F60" s="193">
        <v>256.13</v>
      </c>
      <c r="G60" s="193">
        <v>240</v>
      </c>
      <c r="H60" s="193">
        <v>242.12</v>
      </c>
      <c r="I60" s="193">
        <v>238.38</v>
      </c>
      <c r="J60" s="192">
        <v>244.32</v>
      </c>
      <c r="K60" s="192">
        <v>257.26</v>
      </c>
      <c r="L60" s="192">
        <v>263.39999999999998</v>
      </c>
      <c r="M60" s="192">
        <v>259.14999999999998</v>
      </c>
      <c r="N60" s="192">
        <v>252.04</v>
      </c>
      <c r="O60" s="192">
        <v>241.04</v>
      </c>
      <c r="P60" s="192">
        <v>243.04</v>
      </c>
      <c r="Q60" s="192">
        <v>239.04</v>
      </c>
    </row>
    <row r="61" spans="1:17" ht="17.25" thickBot="1" x14ac:dyDescent="0.35">
      <c r="A61" s="203">
        <v>26004</v>
      </c>
      <c r="B61" s="20" t="s">
        <v>255</v>
      </c>
      <c r="C61" s="202" t="s">
        <v>255</v>
      </c>
      <c r="D61" s="193">
        <v>378</v>
      </c>
      <c r="E61" s="193">
        <v>391</v>
      </c>
      <c r="F61" s="193">
        <v>380.01</v>
      </c>
      <c r="G61" s="193">
        <v>372</v>
      </c>
      <c r="H61" s="193">
        <v>363.4</v>
      </c>
      <c r="I61" s="193">
        <v>377</v>
      </c>
      <c r="J61" s="192">
        <v>357</v>
      </c>
      <c r="K61" s="192">
        <v>376</v>
      </c>
      <c r="L61" s="192">
        <v>379</v>
      </c>
      <c r="M61" s="192">
        <v>382</v>
      </c>
      <c r="N61" s="192">
        <v>391</v>
      </c>
      <c r="O61" s="192">
        <v>361</v>
      </c>
      <c r="P61" s="192">
        <v>371</v>
      </c>
      <c r="Q61" s="192">
        <v>373.6</v>
      </c>
    </row>
    <row r="62" spans="1:17" ht="17.25" thickBot="1" x14ac:dyDescent="0.35">
      <c r="A62" s="203">
        <v>6006</v>
      </c>
      <c r="B62" s="20" t="s">
        <v>256</v>
      </c>
      <c r="C62" s="202" t="s">
        <v>256</v>
      </c>
      <c r="D62" s="193">
        <v>610.01</v>
      </c>
      <c r="E62" s="193">
        <v>613.57000000000005</v>
      </c>
      <c r="F62" s="193">
        <v>624</v>
      </c>
      <c r="G62" s="193">
        <v>626</v>
      </c>
      <c r="H62" s="193">
        <v>623</v>
      </c>
      <c r="I62" s="193">
        <v>612</v>
      </c>
      <c r="J62" s="192">
        <v>591</v>
      </c>
      <c r="K62" s="192">
        <v>588</v>
      </c>
      <c r="L62" s="192">
        <v>581</v>
      </c>
      <c r="M62" s="192">
        <v>596</v>
      </c>
      <c r="N62" s="192">
        <v>582</v>
      </c>
      <c r="O62" s="192">
        <v>589</v>
      </c>
      <c r="P62" s="192">
        <v>568</v>
      </c>
      <c r="Q62" s="192">
        <v>578.87</v>
      </c>
    </row>
    <row r="63" spans="1:17" ht="17.25" thickBot="1" x14ac:dyDescent="0.35">
      <c r="A63" s="203">
        <v>27001</v>
      </c>
      <c r="B63" s="20" t="s">
        <v>257</v>
      </c>
      <c r="C63" s="202" t="s">
        <v>257</v>
      </c>
      <c r="D63" s="193">
        <v>274</v>
      </c>
      <c r="E63" s="193">
        <v>293.02</v>
      </c>
      <c r="F63" s="193">
        <v>280.02</v>
      </c>
      <c r="G63" s="193">
        <v>285.02</v>
      </c>
      <c r="H63" s="193">
        <v>289.02</v>
      </c>
      <c r="I63" s="193">
        <v>292</v>
      </c>
      <c r="J63" s="192">
        <v>301</v>
      </c>
      <c r="K63" s="192">
        <v>299</v>
      </c>
      <c r="L63" s="192">
        <v>300</v>
      </c>
      <c r="M63" s="192">
        <v>295</v>
      </c>
      <c r="N63" s="192">
        <v>288</v>
      </c>
      <c r="O63" s="192">
        <v>310</v>
      </c>
      <c r="P63" s="192">
        <v>302</v>
      </c>
      <c r="Q63" s="192">
        <v>310</v>
      </c>
    </row>
    <row r="64" spans="1:17" ht="17.25" thickBot="1" x14ac:dyDescent="0.35">
      <c r="A64" s="203">
        <v>28003</v>
      </c>
      <c r="B64" s="20" t="s">
        <v>258</v>
      </c>
      <c r="C64" s="202" t="s">
        <v>258</v>
      </c>
      <c r="D64" s="193">
        <v>652.01</v>
      </c>
      <c r="E64" s="193">
        <v>621.5</v>
      </c>
      <c r="F64" s="193">
        <v>652</v>
      </c>
      <c r="G64" s="193">
        <v>658.25</v>
      </c>
      <c r="H64" s="193">
        <v>687</v>
      </c>
      <c r="I64" s="193">
        <v>681</v>
      </c>
      <c r="J64" s="192">
        <v>696</v>
      </c>
      <c r="K64" s="192">
        <v>677</v>
      </c>
      <c r="L64" s="192">
        <v>715</v>
      </c>
      <c r="M64" s="192">
        <v>726.25</v>
      </c>
      <c r="N64" s="192">
        <v>726.68</v>
      </c>
      <c r="O64" s="192">
        <v>749</v>
      </c>
      <c r="P64" s="192">
        <v>783</v>
      </c>
      <c r="Q64" s="192">
        <v>810</v>
      </c>
    </row>
    <row r="65" spans="1:17" ht="17.25" thickBot="1" x14ac:dyDescent="0.35">
      <c r="A65" s="203">
        <v>30001</v>
      </c>
      <c r="B65" s="20" t="s">
        <v>259</v>
      </c>
      <c r="C65" s="202" t="s">
        <v>259</v>
      </c>
      <c r="D65" s="193">
        <v>354</v>
      </c>
      <c r="E65" s="193">
        <v>364</v>
      </c>
      <c r="F65" s="193">
        <v>375</v>
      </c>
      <c r="G65" s="193">
        <v>383.23</v>
      </c>
      <c r="H65" s="193">
        <v>376.23</v>
      </c>
      <c r="I65" s="193">
        <v>387</v>
      </c>
      <c r="J65" s="192">
        <v>386.27</v>
      </c>
      <c r="K65" s="192">
        <v>402</v>
      </c>
      <c r="L65" s="192">
        <v>409.28</v>
      </c>
      <c r="M65" s="192">
        <v>423</v>
      </c>
      <c r="N65" s="192">
        <v>439</v>
      </c>
      <c r="O65" s="192">
        <v>419</v>
      </c>
      <c r="P65" s="192">
        <v>409</v>
      </c>
      <c r="Q65" s="192">
        <v>402</v>
      </c>
    </row>
    <row r="66" spans="1:17" ht="17.25" thickBot="1" x14ac:dyDescent="0.35">
      <c r="A66" s="203">
        <v>31001</v>
      </c>
      <c r="B66" s="20" t="s">
        <v>260</v>
      </c>
      <c r="C66" s="202" t="s">
        <v>260</v>
      </c>
      <c r="D66" s="193">
        <v>224</v>
      </c>
      <c r="E66" s="193">
        <v>221</v>
      </c>
      <c r="F66" s="193">
        <v>216</v>
      </c>
      <c r="G66" s="193">
        <v>204</v>
      </c>
      <c r="H66" s="193">
        <v>196</v>
      </c>
      <c r="I66" s="193">
        <v>180.25</v>
      </c>
      <c r="J66" s="192">
        <v>179.25</v>
      </c>
      <c r="K66" s="192">
        <v>179.25</v>
      </c>
      <c r="L66" s="192">
        <v>169.25</v>
      </c>
      <c r="M66" s="192">
        <v>179.25</v>
      </c>
      <c r="N66" s="192">
        <v>194.25</v>
      </c>
      <c r="O66" s="192">
        <v>202.25</v>
      </c>
      <c r="P66" s="192">
        <v>195.25</v>
      </c>
      <c r="Q66" s="192">
        <v>200</v>
      </c>
    </row>
    <row r="67" spans="1:17" ht="17.25" thickBot="1" x14ac:dyDescent="0.35">
      <c r="A67" s="203">
        <v>41002</v>
      </c>
      <c r="B67" s="20" t="s">
        <v>261</v>
      </c>
      <c r="C67" s="202" t="s">
        <v>261</v>
      </c>
      <c r="D67" s="193">
        <v>1253.1500000000001</v>
      </c>
      <c r="E67" s="193">
        <v>1457.42</v>
      </c>
      <c r="F67" s="193">
        <v>1677.89</v>
      </c>
      <c r="G67" s="193">
        <v>1894.01</v>
      </c>
      <c r="H67" s="193">
        <v>2181</v>
      </c>
      <c r="I67" s="193">
        <v>2388.35</v>
      </c>
      <c r="J67" s="192">
        <v>2689.25</v>
      </c>
      <c r="K67" s="192">
        <v>2999.72</v>
      </c>
      <c r="L67" s="192">
        <v>3267.04</v>
      </c>
      <c r="M67" s="192">
        <v>3572</v>
      </c>
      <c r="N67" s="192">
        <v>3853.6</v>
      </c>
      <c r="O67" s="192">
        <v>4144.5200000000004</v>
      </c>
      <c r="P67" s="192">
        <v>4542.16</v>
      </c>
      <c r="Q67" s="192">
        <v>4807.7700000000004</v>
      </c>
    </row>
    <row r="68" spans="1:17" ht="17.25" thickBot="1" x14ac:dyDescent="0.35">
      <c r="A68" s="203">
        <v>14002</v>
      </c>
      <c r="B68" s="20" t="s">
        <v>262</v>
      </c>
      <c r="C68" s="202" t="s">
        <v>262</v>
      </c>
      <c r="D68" s="193">
        <v>161</v>
      </c>
      <c r="E68" s="193">
        <v>171</v>
      </c>
      <c r="F68" s="193">
        <v>161</v>
      </c>
      <c r="G68" s="193">
        <v>171</v>
      </c>
      <c r="H68" s="193">
        <v>149</v>
      </c>
      <c r="I68" s="193">
        <v>158</v>
      </c>
      <c r="J68" s="192">
        <v>154</v>
      </c>
      <c r="K68" s="192">
        <v>170</v>
      </c>
      <c r="L68" s="192">
        <v>173</v>
      </c>
      <c r="M68" s="192">
        <v>177</v>
      </c>
      <c r="N68" s="192">
        <v>166</v>
      </c>
      <c r="O68" s="192">
        <v>170</v>
      </c>
      <c r="P68" s="192">
        <v>165</v>
      </c>
      <c r="Q68" s="192">
        <v>176</v>
      </c>
    </row>
    <row r="69" spans="1:17" ht="17.25" thickBot="1" x14ac:dyDescent="0.35">
      <c r="A69" s="203">
        <v>10001</v>
      </c>
      <c r="B69" s="20" t="s">
        <v>263</v>
      </c>
      <c r="C69" s="202" t="s">
        <v>263</v>
      </c>
      <c r="D69" s="193">
        <v>140.13999999999999</v>
      </c>
      <c r="E69" s="193">
        <v>133</v>
      </c>
      <c r="F69" s="193">
        <v>129</v>
      </c>
      <c r="G69" s="193">
        <v>132</v>
      </c>
      <c r="H69" s="193">
        <v>134.34</v>
      </c>
      <c r="I69" s="193">
        <v>122</v>
      </c>
      <c r="J69" s="192">
        <v>113</v>
      </c>
      <c r="K69" s="192">
        <v>115</v>
      </c>
      <c r="L69" s="192">
        <v>120</v>
      </c>
      <c r="M69" s="192">
        <v>120</v>
      </c>
      <c r="N69" s="192">
        <v>120.14</v>
      </c>
      <c r="O69" s="192">
        <v>117</v>
      </c>
      <c r="P69" s="192">
        <v>109</v>
      </c>
      <c r="Q69" s="192">
        <v>119</v>
      </c>
    </row>
    <row r="70" spans="1:17" ht="17.25" thickBot="1" x14ac:dyDescent="0.35">
      <c r="A70" s="203">
        <v>34002</v>
      </c>
      <c r="B70" s="20" t="s">
        <v>264</v>
      </c>
      <c r="C70" s="202" t="s">
        <v>264</v>
      </c>
      <c r="D70" s="193"/>
      <c r="E70" s="193"/>
      <c r="F70" s="193"/>
      <c r="G70" s="193">
        <v>311</v>
      </c>
      <c r="H70" s="193">
        <v>295</v>
      </c>
      <c r="I70" s="193">
        <v>295</v>
      </c>
      <c r="J70" s="192">
        <v>280</v>
      </c>
      <c r="K70" s="192">
        <v>274</v>
      </c>
      <c r="L70" s="192">
        <v>268</v>
      </c>
      <c r="M70" s="192">
        <v>261</v>
      </c>
      <c r="N70" s="192">
        <v>251.4</v>
      </c>
      <c r="O70" s="192">
        <v>250</v>
      </c>
      <c r="P70" s="192">
        <v>238</v>
      </c>
      <c r="Q70" s="192">
        <v>232.95</v>
      </c>
    </row>
    <row r="71" spans="1:17" ht="17.25" thickBot="1" x14ac:dyDescent="0.35">
      <c r="A71" s="203">
        <v>51002</v>
      </c>
      <c r="B71" s="20" t="s">
        <v>265</v>
      </c>
      <c r="C71" s="202" t="s">
        <v>265</v>
      </c>
      <c r="D71" s="193">
        <v>502.6</v>
      </c>
      <c r="E71" s="193">
        <v>492</v>
      </c>
      <c r="F71" s="193">
        <v>477</v>
      </c>
      <c r="G71" s="193">
        <v>463</v>
      </c>
      <c r="H71" s="193">
        <v>479.6</v>
      </c>
      <c r="I71" s="193">
        <v>501.2</v>
      </c>
      <c r="J71" s="192">
        <v>500</v>
      </c>
      <c r="K71" s="192">
        <v>510.2</v>
      </c>
      <c r="L71" s="192">
        <v>517.5</v>
      </c>
      <c r="M71" s="192">
        <v>512.6</v>
      </c>
      <c r="N71" s="192">
        <v>499</v>
      </c>
      <c r="O71" s="192">
        <v>498.15</v>
      </c>
      <c r="P71" s="192">
        <v>456.6</v>
      </c>
      <c r="Q71" s="192">
        <v>453.4</v>
      </c>
    </row>
    <row r="72" spans="1:17" ht="17.25" thickBot="1" x14ac:dyDescent="0.35">
      <c r="A72" s="203">
        <v>56006</v>
      </c>
      <c r="B72" s="20" t="s">
        <v>266</v>
      </c>
      <c r="C72" s="202" t="s">
        <v>266</v>
      </c>
      <c r="D72" s="193">
        <v>263</v>
      </c>
      <c r="E72" s="193">
        <v>253</v>
      </c>
      <c r="F72" s="193">
        <v>239</v>
      </c>
      <c r="G72" s="193">
        <v>238</v>
      </c>
      <c r="H72" s="193">
        <v>235</v>
      </c>
      <c r="I72" s="193">
        <v>222</v>
      </c>
      <c r="J72" s="192">
        <v>230</v>
      </c>
      <c r="K72" s="192">
        <v>210</v>
      </c>
      <c r="L72" s="192">
        <v>206</v>
      </c>
      <c r="M72" s="192">
        <v>203</v>
      </c>
      <c r="N72" s="192">
        <v>216</v>
      </c>
      <c r="O72" s="192">
        <v>231</v>
      </c>
      <c r="P72" s="192">
        <v>232</v>
      </c>
      <c r="Q72" s="192">
        <v>230.38</v>
      </c>
    </row>
    <row r="73" spans="1:17" ht="17.25" thickBot="1" x14ac:dyDescent="0.35">
      <c r="A73" s="203">
        <v>23002</v>
      </c>
      <c r="B73" s="20" t="s">
        <v>267</v>
      </c>
      <c r="C73" s="202" t="s">
        <v>267</v>
      </c>
      <c r="D73" s="193">
        <v>851.91</v>
      </c>
      <c r="E73" s="193">
        <v>826.43</v>
      </c>
      <c r="F73" s="193">
        <v>826.51</v>
      </c>
      <c r="G73" s="193">
        <v>811.56</v>
      </c>
      <c r="H73" s="193">
        <v>844.4</v>
      </c>
      <c r="I73" s="193">
        <v>814.89</v>
      </c>
      <c r="J73" s="192">
        <v>818.53</v>
      </c>
      <c r="K73" s="192">
        <v>803.64</v>
      </c>
      <c r="L73" s="192">
        <v>808.08</v>
      </c>
      <c r="M73" s="192">
        <v>803.24</v>
      </c>
      <c r="N73" s="192">
        <v>814.8</v>
      </c>
      <c r="O73" s="192">
        <v>806.4</v>
      </c>
      <c r="P73" s="192">
        <v>776.1</v>
      </c>
      <c r="Q73" s="192">
        <v>761.24</v>
      </c>
    </row>
    <row r="74" spans="1:17" ht="17.25" thickBot="1" x14ac:dyDescent="0.35">
      <c r="A74" s="203">
        <v>53002</v>
      </c>
      <c r="B74" s="20" t="s">
        <v>268</v>
      </c>
      <c r="C74" s="202" t="s">
        <v>268</v>
      </c>
      <c r="D74" s="193">
        <v>147</v>
      </c>
      <c r="E74" s="193">
        <v>130</v>
      </c>
      <c r="F74" s="193">
        <v>126</v>
      </c>
      <c r="G74" s="193">
        <v>117</v>
      </c>
      <c r="H74" s="193">
        <v>115</v>
      </c>
      <c r="I74" s="193">
        <v>116</v>
      </c>
      <c r="J74" s="192">
        <v>111</v>
      </c>
      <c r="K74" s="192">
        <v>107.2</v>
      </c>
      <c r="L74" s="192">
        <v>102</v>
      </c>
      <c r="M74" s="192">
        <v>107</v>
      </c>
      <c r="N74" s="192">
        <v>112</v>
      </c>
      <c r="O74" s="192">
        <v>109</v>
      </c>
      <c r="P74" s="192">
        <v>102</v>
      </c>
      <c r="Q74" s="192">
        <v>104</v>
      </c>
    </row>
    <row r="75" spans="1:17" ht="17.25" thickBot="1" x14ac:dyDescent="0.35">
      <c r="A75" s="203">
        <v>48003</v>
      </c>
      <c r="B75" s="20" t="s">
        <v>269</v>
      </c>
      <c r="C75" s="202" t="s">
        <v>269</v>
      </c>
      <c r="D75" s="193">
        <v>389</v>
      </c>
      <c r="E75" s="193">
        <v>384</v>
      </c>
      <c r="F75" s="193">
        <v>361</v>
      </c>
      <c r="G75" s="193">
        <v>379</v>
      </c>
      <c r="H75" s="193">
        <v>372.6</v>
      </c>
      <c r="I75" s="193">
        <v>376</v>
      </c>
      <c r="J75" s="192">
        <v>364</v>
      </c>
      <c r="K75" s="192">
        <v>366.51</v>
      </c>
      <c r="L75" s="192">
        <v>370.88</v>
      </c>
      <c r="M75" s="192">
        <v>363</v>
      </c>
      <c r="N75" s="192">
        <v>359</v>
      </c>
      <c r="O75" s="192">
        <v>365.12</v>
      </c>
      <c r="P75" s="192">
        <v>365</v>
      </c>
      <c r="Q75" s="192">
        <v>363.1</v>
      </c>
    </row>
    <row r="76" spans="1:17" ht="17.25" thickBot="1" x14ac:dyDescent="0.35">
      <c r="A76" s="203">
        <v>2002</v>
      </c>
      <c r="B76" s="20" t="s">
        <v>270</v>
      </c>
      <c r="C76" s="202" t="s">
        <v>270</v>
      </c>
      <c r="D76" s="193">
        <v>1967.54</v>
      </c>
      <c r="E76" s="193">
        <v>2042.9</v>
      </c>
      <c r="F76" s="193">
        <v>2115.86</v>
      </c>
      <c r="G76" s="193">
        <v>2141.09</v>
      </c>
      <c r="H76" s="193">
        <v>2104.67</v>
      </c>
      <c r="I76" s="193">
        <v>2143.5700000000002</v>
      </c>
      <c r="J76" s="192">
        <v>2214.2199999999998</v>
      </c>
      <c r="K76" s="192">
        <v>2323.0300000000002</v>
      </c>
      <c r="L76" s="192">
        <v>2304.5</v>
      </c>
      <c r="M76" s="192">
        <v>2402.19</v>
      </c>
      <c r="N76" s="192">
        <f>2471.74-1</f>
        <v>2470.7399999999998</v>
      </c>
      <c r="O76" s="192">
        <v>2544.14</v>
      </c>
      <c r="P76" s="192">
        <v>2612.23</v>
      </c>
      <c r="Q76" s="192">
        <v>2660.62</v>
      </c>
    </row>
    <row r="77" spans="1:17" ht="17.25" thickBot="1" x14ac:dyDescent="0.35">
      <c r="A77" s="203">
        <v>22006</v>
      </c>
      <c r="B77" s="20" t="s">
        <v>271</v>
      </c>
      <c r="C77" s="202" t="s">
        <v>271</v>
      </c>
      <c r="D77" s="193">
        <v>389.72</v>
      </c>
      <c r="E77" s="193">
        <v>367.43</v>
      </c>
      <c r="F77" s="193">
        <v>374.26</v>
      </c>
      <c r="G77" s="193">
        <v>380.07</v>
      </c>
      <c r="H77" s="193">
        <v>358.11</v>
      </c>
      <c r="I77" s="193">
        <v>358.18</v>
      </c>
      <c r="J77" s="192">
        <v>366.07</v>
      </c>
      <c r="K77" s="192">
        <v>356.26</v>
      </c>
      <c r="L77" s="192">
        <v>376.28</v>
      </c>
      <c r="M77" s="192">
        <v>369.04</v>
      </c>
      <c r="N77" s="192">
        <v>381.7</v>
      </c>
      <c r="O77" s="192">
        <v>403</v>
      </c>
      <c r="P77" s="192">
        <v>405.49</v>
      </c>
      <c r="Q77" s="192">
        <v>422.49</v>
      </c>
    </row>
    <row r="78" spans="1:17" ht="17.25" thickBot="1" x14ac:dyDescent="0.35">
      <c r="A78" s="203">
        <v>13003</v>
      </c>
      <c r="B78" s="20" t="s">
        <v>272</v>
      </c>
      <c r="C78" s="202" t="s">
        <v>272</v>
      </c>
      <c r="D78" s="193"/>
      <c r="E78" s="193">
        <f>E203+E190</f>
        <v>0</v>
      </c>
      <c r="F78" s="193">
        <v>308</v>
      </c>
      <c r="G78" s="193">
        <v>299</v>
      </c>
      <c r="H78" s="193">
        <v>285</v>
      </c>
      <c r="I78" s="193">
        <v>291</v>
      </c>
      <c r="J78" s="192">
        <v>286</v>
      </c>
      <c r="K78" s="192">
        <v>302</v>
      </c>
      <c r="L78" s="192">
        <v>286</v>
      </c>
      <c r="M78" s="192">
        <v>278</v>
      </c>
      <c r="N78" s="192">
        <v>289.14999999999998</v>
      </c>
      <c r="O78" s="192">
        <v>294.45</v>
      </c>
      <c r="P78" s="192">
        <v>296.3</v>
      </c>
      <c r="Q78" s="192">
        <v>283.72000000000003</v>
      </c>
    </row>
    <row r="79" spans="1:17" ht="17.25" thickBot="1" x14ac:dyDescent="0.35">
      <c r="A79" s="203">
        <v>2003</v>
      </c>
      <c r="B79" s="20" t="s">
        <v>273</v>
      </c>
      <c r="C79" s="202" t="s">
        <v>273</v>
      </c>
      <c r="D79" s="193">
        <v>190.51</v>
      </c>
      <c r="E79" s="193">
        <v>166.61</v>
      </c>
      <c r="F79" s="193">
        <v>154.21</v>
      </c>
      <c r="G79" s="193">
        <v>147.15</v>
      </c>
      <c r="H79" s="193">
        <v>183.15</v>
      </c>
      <c r="I79" s="193">
        <v>194.51</v>
      </c>
      <c r="J79" s="192">
        <v>197.01</v>
      </c>
      <c r="K79" s="192">
        <v>223.01</v>
      </c>
      <c r="L79" s="192">
        <v>228</v>
      </c>
      <c r="M79" s="192">
        <v>216</v>
      </c>
      <c r="N79" s="192">
        <v>217</v>
      </c>
      <c r="O79" s="192">
        <v>238.02</v>
      </c>
      <c r="P79" s="192">
        <v>219</v>
      </c>
      <c r="Q79" s="192">
        <v>223.2</v>
      </c>
    </row>
    <row r="80" spans="1:17" ht="17.25" thickBot="1" x14ac:dyDescent="0.35">
      <c r="A80" s="203">
        <v>37003</v>
      </c>
      <c r="B80" s="20" t="s">
        <v>274</v>
      </c>
      <c r="C80" s="202" t="s">
        <v>274</v>
      </c>
      <c r="D80" s="193">
        <v>167</v>
      </c>
      <c r="E80" s="193">
        <v>166</v>
      </c>
      <c r="F80" s="193">
        <v>172.6</v>
      </c>
      <c r="G80" s="193">
        <v>170</v>
      </c>
      <c r="H80" s="193">
        <v>167</v>
      </c>
      <c r="I80" s="193">
        <v>174.57</v>
      </c>
      <c r="J80" s="192">
        <v>168.1</v>
      </c>
      <c r="K80" s="192">
        <v>183</v>
      </c>
      <c r="L80" s="192">
        <v>191</v>
      </c>
      <c r="M80" s="192">
        <v>178</v>
      </c>
      <c r="N80" s="192">
        <v>188</v>
      </c>
      <c r="O80" s="192">
        <v>189</v>
      </c>
      <c r="P80" s="192">
        <v>187.29</v>
      </c>
      <c r="Q80" s="192">
        <v>179</v>
      </c>
    </row>
    <row r="81" spans="1:17" ht="17.25" thickBot="1" x14ac:dyDescent="0.35">
      <c r="A81" s="203">
        <v>35002</v>
      </c>
      <c r="B81" s="20" t="s">
        <v>275</v>
      </c>
      <c r="C81" s="202" t="s">
        <v>275</v>
      </c>
      <c r="D81" s="193"/>
      <c r="E81" s="193">
        <f>E166+E172</f>
        <v>693.24</v>
      </c>
      <c r="F81" s="193">
        <v>377</v>
      </c>
      <c r="G81" s="193">
        <v>381.2</v>
      </c>
      <c r="H81" s="193">
        <v>350</v>
      </c>
      <c r="I81" s="193">
        <v>350</v>
      </c>
      <c r="J81" s="192">
        <v>348.8</v>
      </c>
      <c r="K81" s="192">
        <v>353</v>
      </c>
      <c r="L81" s="192">
        <v>362</v>
      </c>
      <c r="M81" s="192">
        <v>368</v>
      </c>
      <c r="N81" s="192">
        <v>361</v>
      </c>
      <c r="O81" s="192">
        <v>348</v>
      </c>
      <c r="P81" s="192">
        <v>322</v>
      </c>
      <c r="Q81" s="192">
        <v>322</v>
      </c>
    </row>
    <row r="82" spans="1:17" ht="17.25" thickBot="1" x14ac:dyDescent="0.35">
      <c r="A82" s="203">
        <v>7002</v>
      </c>
      <c r="B82" s="20" t="s">
        <v>276</v>
      </c>
      <c r="C82" s="202" t="s">
        <v>276</v>
      </c>
      <c r="D82" s="193">
        <v>273</v>
      </c>
      <c r="E82" s="193">
        <v>299.39999999999998</v>
      </c>
      <c r="F82" s="193">
        <v>288.2</v>
      </c>
      <c r="G82" s="193">
        <v>278.3</v>
      </c>
      <c r="H82" s="193">
        <v>269</v>
      </c>
      <c r="I82" s="193">
        <v>261</v>
      </c>
      <c r="J82" s="192">
        <v>276</v>
      </c>
      <c r="K82" s="192">
        <v>272</v>
      </c>
      <c r="L82" s="192">
        <v>293</v>
      </c>
      <c r="M82" s="192">
        <v>293.5</v>
      </c>
      <c r="N82" s="192">
        <v>307</v>
      </c>
      <c r="O82" s="192">
        <v>296</v>
      </c>
      <c r="P82" s="192">
        <v>304.25</v>
      </c>
      <c r="Q82" s="192">
        <v>305.25</v>
      </c>
    </row>
    <row r="83" spans="1:17" ht="17.25" thickBot="1" x14ac:dyDescent="0.35">
      <c r="A83" s="203">
        <v>38003</v>
      </c>
      <c r="B83" s="20" t="s">
        <v>277</v>
      </c>
      <c r="C83" s="202" t="s">
        <v>277</v>
      </c>
      <c r="D83" s="193">
        <v>208</v>
      </c>
      <c r="E83" s="193">
        <v>199</v>
      </c>
      <c r="F83" s="193">
        <v>202</v>
      </c>
      <c r="G83" s="193">
        <v>214</v>
      </c>
      <c r="H83" s="193">
        <v>198</v>
      </c>
      <c r="I83" s="193">
        <v>185</v>
      </c>
      <c r="J83" s="192">
        <v>191</v>
      </c>
      <c r="K83" s="192">
        <v>182</v>
      </c>
      <c r="L83" s="192">
        <v>165</v>
      </c>
      <c r="M83" s="192">
        <v>163</v>
      </c>
      <c r="N83" s="192">
        <v>162</v>
      </c>
      <c r="O83" s="192">
        <v>148</v>
      </c>
      <c r="P83" s="192">
        <v>157</v>
      </c>
      <c r="Q83" s="192">
        <v>164</v>
      </c>
    </row>
    <row r="84" spans="1:17" ht="17.25" thickBot="1" x14ac:dyDescent="0.35">
      <c r="A84" s="203">
        <v>45005</v>
      </c>
      <c r="B84" s="20" t="s">
        <v>278</v>
      </c>
      <c r="C84" s="202" t="s">
        <v>278</v>
      </c>
      <c r="D84" s="193"/>
      <c r="E84" s="193"/>
      <c r="F84" s="193"/>
      <c r="G84" s="193"/>
      <c r="H84" s="193"/>
      <c r="I84" s="193">
        <v>216</v>
      </c>
      <c r="J84" s="192">
        <v>217</v>
      </c>
      <c r="K84" s="192">
        <v>223</v>
      </c>
      <c r="L84" s="192">
        <v>215</v>
      </c>
      <c r="M84" s="192">
        <v>202</v>
      </c>
      <c r="N84" s="192">
        <v>218</v>
      </c>
      <c r="O84" s="192">
        <v>218</v>
      </c>
      <c r="P84" s="192">
        <v>203</v>
      </c>
      <c r="Q84" s="192">
        <v>211</v>
      </c>
    </row>
    <row r="85" spans="1:17" ht="17.25" thickBot="1" x14ac:dyDescent="0.35">
      <c r="A85" s="203">
        <v>40001</v>
      </c>
      <c r="B85" s="20" t="s">
        <v>279</v>
      </c>
      <c r="C85" s="202" t="s">
        <v>468</v>
      </c>
      <c r="D85" s="193">
        <v>935</v>
      </c>
      <c r="E85" s="193">
        <v>886.03</v>
      </c>
      <c r="F85" s="193">
        <v>846.76</v>
      </c>
      <c r="G85" s="193">
        <v>820.79</v>
      </c>
      <c r="H85" s="193">
        <v>876.05</v>
      </c>
      <c r="I85" s="193">
        <v>806.23</v>
      </c>
      <c r="J85" s="192">
        <v>826.3</v>
      </c>
      <c r="K85" s="192">
        <v>820.64</v>
      </c>
      <c r="L85" s="192">
        <v>784.53</v>
      </c>
      <c r="M85" s="192">
        <v>740.28</v>
      </c>
      <c r="N85" s="192">
        <v>763.29</v>
      </c>
      <c r="O85" s="192">
        <v>725.63</v>
      </c>
      <c r="P85" s="192">
        <v>784.5</v>
      </c>
      <c r="Q85" s="192">
        <v>757.99</v>
      </c>
    </row>
    <row r="86" spans="1:17" ht="17.25" thickBot="1" x14ac:dyDescent="0.35">
      <c r="A86" s="203">
        <v>52004</v>
      </c>
      <c r="B86" s="20" t="s">
        <v>280</v>
      </c>
      <c r="C86" s="202" t="s">
        <v>280</v>
      </c>
      <c r="D86" s="193"/>
      <c r="E86" s="193"/>
      <c r="F86" s="193"/>
      <c r="G86" s="193"/>
      <c r="H86" s="193">
        <v>287.60000000000002</v>
      </c>
      <c r="I86" s="193">
        <v>273.14999999999998</v>
      </c>
      <c r="J86" s="192">
        <v>252.1</v>
      </c>
      <c r="K86" s="192">
        <v>243.1</v>
      </c>
      <c r="L86" s="192">
        <v>244.33</v>
      </c>
      <c r="M86" s="192">
        <v>266.61</v>
      </c>
      <c r="N86" s="192">
        <v>273.37</v>
      </c>
      <c r="O86" s="192">
        <v>266.55</v>
      </c>
      <c r="P86" s="192">
        <v>246.19</v>
      </c>
      <c r="Q86" s="192">
        <v>238.82</v>
      </c>
    </row>
    <row r="87" spans="1:17" ht="17.25" thickBot="1" x14ac:dyDescent="0.35">
      <c r="A87" s="203">
        <v>41004</v>
      </c>
      <c r="B87" s="20" t="s">
        <v>281</v>
      </c>
      <c r="C87" s="202" t="s">
        <v>281</v>
      </c>
      <c r="D87" s="193">
        <v>955.13</v>
      </c>
      <c r="E87" s="193">
        <v>905</v>
      </c>
      <c r="F87" s="193">
        <v>917.19</v>
      </c>
      <c r="G87" s="193">
        <v>934</v>
      </c>
      <c r="H87" s="193">
        <v>945.5</v>
      </c>
      <c r="I87" s="193">
        <v>969</v>
      </c>
      <c r="J87" s="192">
        <v>970</v>
      </c>
      <c r="K87" s="192">
        <v>1008</v>
      </c>
      <c r="L87" s="192">
        <v>1032</v>
      </c>
      <c r="M87" s="192">
        <v>1044</v>
      </c>
      <c r="N87" s="192">
        <v>1049.51</v>
      </c>
      <c r="O87" s="192">
        <v>1055.51</v>
      </c>
      <c r="P87" s="192">
        <v>1079</v>
      </c>
      <c r="Q87" s="192">
        <v>1123.75</v>
      </c>
    </row>
    <row r="88" spans="1:17" ht="17.25" thickBot="1" x14ac:dyDescent="0.35">
      <c r="A88" s="203">
        <v>44002</v>
      </c>
      <c r="B88" s="20" t="s">
        <v>282</v>
      </c>
      <c r="C88" s="202" t="s">
        <v>282</v>
      </c>
      <c r="D88" s="193">
        <v>248</v>
      </c>
      <c r="E88" s="193">
        <v>265.60000000000002</v>
      </c>
      <c r="F88" s="193">
        <v>244</v>
      </c>
      <c r="G88" s="193">
        <v>251</v>
      </c>
      <c r="H88" s="193">
        <v>239</v>
      </c>
      <c r="I88" s="193">
        <v>234.14</v>
      </c>
      <c r="J88" s="192">
        <v>219.42</v>
      </c>
      <c r="K88" s="192">
        <v>219.63</v>
      </c>
      <c r="L88" s="192">
        <v>213</v>
      </c>
      <c r="M88" s="192">
        <v>183</v>
      </c>
      <c r="N88" s="192">
        <v>196</v>
      </c>
      <c r="O88" s="192">
        <v>185</v>
      </c>
      <c r="P88" s="192">
        <v>203</v>
      </c>
      <c r="Q88" s="192">
        <v>200</v>
      </c>
    </row>
    <row r="89" spans="1:17" ht="17.25" thickBot="1" x14ac:dyDescent="0.35">
      <c r="A89" s="203">
        <v>42001</v>
      </c>
      <c r="B89" s="20" t="s">
        <v>283</v>
      </c>
      <c r="C89" s="202" t="s">
        <v>283</v>
      </c>
      <c r="D89" s="193">
        <v>400</v>
      </c>
      <c r="E89" s="193">
        <v>400</v>
      </c>
      <c r="F89" s="193">
        <v>372</v>
      </c>
      <c r="G89" s="193">
        <v>389</v>
      </c>
      <c r="H89" s="193">
        <v>389.4</v>
      </c>
      <c r="I89" s="193">
        <v>369.4</v>
      </c>
      <c r="J89" s="192">
        <v>352</v>
      </c>
      <c r="K89" s="192">
        <v>367</v>
      </c>
      <c r="L89" s="192">
        <v>401</v>
      </c>
      <c r="M89" s="192">
        <v>398</v>
      </c>
      <c r="N89" s="192">
        <v>388</v>
      </c>
      <c r="O89" s="192">
        <v>410</v>
      </c>
      <c r="P89" s="192">
        <v>366</v>
      </c>
      <c r="Q89" s="192">
        <v>366</v>
      </c>
    </row>
    <row r="90" spans="1:17" ht="17.25" thickBot="1" x14ac:dyDescent="0.35">
      <c r="A90" s="203">
        <v>39002</v>
      </c>
      <c r="B90" s="20" t="s">
        <v>284</v>
      </c>
      <c r="C90" s="202" t="s">
        <v>284</v>
      </c>
      <c r="D90" s="193">
        <v>1175.55</v>
      </c>
      <c r="E90" s="193">
        <v>1174.48</v>
      </c>
      <c r="F90" s="193">
        <v>1185.46</v>
      </c>
      <c r="G90" s="193">
        <v>1188.6600000000001</v>
      </c>
      <c r="H90" s="193">
        <v>1156.25</v>
      </c>
      <c r="I90" s="193">
        <v>1148.75</v>
      </c>
      <c r="J90" s="192">
        <v>1124.06</v>
      </c>
      <c r="K90" s="192">
        <v>1120.46</v>
      </c>
      <c r="L90" s="192">
        <v>1138.68</v>
      </c>
      <c r="M90" s="192">
        <v>1131.8699999999999</v>
      </c>
      <c r="N90" s="192">
        <v>1160.8399999999999</v>
      </c>
      <c r="O90" s="192">
        <v>1162.77</v>
      </c>
      <c r="P90" s="192">
        <v>1222.3</v>
      </c>
      <c r="Q90" s="192">
        <v>1205.8</v>
      </c>
    </row>
    <row r="91" spans="1:17" ht="17.25" thickBot="1" x14ac:dyDescent="0.35">
      <c r="A91" s="203">
        <v>60003</v>
      </c>
      <c r="B91" s="20" t="s">
        <v>285</v>
      </c>
      <c r="C91" s="202" t="s">
        <v>285</v>
      </c>
      <c r="D91" s="193">
        <v>232</v>
      </c>
      <c r="E91" s="193">
        <v>211</v>
      </c>
      <c r="F91" s="193">
        <v>237</v>
      </c>
      <c r="G91" s="193">
        <v>218</v>
      </c>
      <c r="H91" s="193">
        <v>211</v>
      </c>
      <c r="I91" s="193">
        <v>211</v>
      </c>
      <c r="J91" s="192">
        <v>199</v>
      </c>
      <c r="K91" s="192">
        <v>202</v>
      </c>
      <c r="L91" s="192">
        <v>178</v>
      </c>
      <c r="M91" s="192">
        <v>195</v>
      </c>
      <c r="N91" s="192">
        <v>191</v>
      </c>
      <c r="O91" s="192">
        <v>183.9</v>
      </c>
      <c r="P91" s="192">
        <v>174.2</v>
      </c>
      <c r="Q91" s="192">
        <v>167</v>
      </c>
    </row>
    <row r="92" spans="1:17" ht="17.25" thickBot="1" x14ac:dyDescent="0.35">
      <c r="A92" s="203">
        <v>43007</v>
      </c>
      <c r="B92" s="20" t="s">
        <v>286</v>
      </c>
      <c r="C92" s="202" t="s">
        <v>286</v>
      </c>
      <c r="D92" s="193">
        <v>373.04</v>
      </c>
      <c r="E92" s="193">
        <v>397.48</v>
      </c>
      <c r="F92" s="193">
        <v>392.88</v>
      </c>
      <c r="G92" s="193">
        <v>380.26</v>
      </c>
      <c r="H92" s="193">
        <v>384.64</v>
      </c>
      <c r="I92" s="193">
        <v>367.34</v>
      </c>
      <c r="J92" s="192">
        <v>379.34</v>
      </c>
      <c r="K92" s="192">
        <v>378.68</v>
      </c>
      <c r="L92" s="192">
        <v>357.53</v>
      </c>
      <c r="M92" s="192">
        <v>356.92</v>
      </c>
      <c r="N92" s="192">
        <v>359.57</v>
      </c>
      <c r="O92" s="192">
        <v>378.54</v>
      </c>
      <c r="P92" s="192">
        <v>378.32</v>
      </c>
      <c r="Q92" s="192">
        <v>377.91</v>
      </c>
    </row>
    <row r="93" spans="1:17" ht="17.25" thickBot="1" x14ac:dyDescent="0.35">
      <c r="A93" s="203">
        <v>15001</v>
      </c>
      <c r="B93" s="20" t="s">
        <v>287</v>
      </c>
      <c r="C93" s="202" t="s">
        <v>287</v>
      </c>
      <c r="D93" s="193">
        <v>142</v>
      </c>
      <c r="E93" s="193">
        <v>142</v>
      </c>
      <c r="F93" s="193">
        <v>149</v>
      </c>
      <c r="G93" s="193">
        <v>145</v>
      </c>
      <c r="H93" s="193">
        <v>173</v>
      </c>
      <c r="I93" s="193">
        <v>161</v>
      </c>
      <c r="J93" s="192">
        <v>159</v>
      </c>
      <c r="K93" s="192">
        <v>158</v>
      </c>
      <c r="L93" s="192">
        <v>171</v>
      </c>
      <c r="M93" s="192">
        <v>156</v>
      </c>
      <c r="N93" s="192">
        <v>152</v>
      </c>
      <c r="O93" s="192">
        <v>161</v>
      </c>
      <c r="P93" s="192">
        <v>177</v>
      </c>
      <c r="Q93" s="192">
        <v>171</v>
      </c>
    </row>
    <row r="94" spans="1:17" ht="17.25" thickBot="1" x14ac:dyDescent="0.35">
      <c r="A94" s="203">
        <v>15002</v>
      </c>
      <c r="B94" s="20" t="s">
        <v>288</v>
      </c>
      <c r="C94" s="202" t="s">
        <v>288</v>
      </c>
      <c r="D94" s="193">
        <v>397</v>
      </c>
      <c r="E94" s="193">
        <v>434</v>
      </c>
      <c r="F94" s="193">
        <v>392</v>
      </c>
      <c r="G94" s="193">
        <v>413</v>
      </c>
      <c r="H94" s="193">
        <v>408</v>
      </c>
      <c r="I94" s="193">
        <v>427</v>
      </c>
      <c r="J94" s="192">
        <v>387</v>
      </c>
      <c r="K94" s="192">
        <v>428</v>
      </c>
      <c r="L94" s="192">
        <v>482</v>
      </c>
      <c r="M94" s="192">
        <v>486</v>
      </c>
      <c r="N94" s="192">
        <v>465</v>
      </c>
      <c r="O94" s="192">
        <v>457.5</v>
      </c>
      <c r="P94" s="192">
        <v>441.36</v>
      </c>
      <c r="Q94" s="192">
        <v>444.87</v>
      </c>
    </row>
    <row r="95" spans="1:17" ht="17.25" thickBot="1" x14ac:dyDescent="0.35">
      <c r="A95" s="203">
        <v>46001</v>
      </c>
      <c r="B95" s="20" t="s">
        <v>289</v>
      </c>
      <c r="C95" s="202" t="s">
        <v>289</v>
      </c>
      <c r="D95" s="193">
        <v>2702.9</v>
      </c>
      <c r="E95" s="193">
        <v>2639.65</v>
      </c>
      <c r="F95" s="193">
        <v>2562.9</v>
      </c>
      <c r="G95" s="193">
        <v>2523.85</v>
      </c>
      <c r="H95" s="193">
        <v>2502.4499999999998</v>
      </c>
      <c r="I95" s="193">
        <v>2457.4499999999998</v>
      </c>
      <c r="J95" s="192">
        <v>2473.25</v>
      </c>
      <c r="K95" s="192">
        <v>2582.75</v>
      </c>
      <c r="L95" s="192">
        <v>2653.25</v>
      </c>
      <c r="M95" s="192">
        <v>2642</v>
      </c>
      <c r="N95" s="192">
        <v>2681.76</v>
      </c>
      <c r="O95" s="192">
        <v>2832.79</v>
      </c>
      <c r="P95" s="192">
        <v>2825.25</v>
      </c>
      <c r="Q95" s="192">
        <v>2878.35</v>
      </c>
    </row>
    <row r="96" spans="1:17" ht="17.25" thickBot="1" x14ac:dyDescent="0.35">
      <c r="A96" s="203">
        <v>33002</v>
      </c>
      <c r="B96" s="20" t="s">
        <v>290</v>
      </c>
      <c r="C96" s="202" t="s">
        <v>290</v>
      </c>
      <c r="D96" s="193">
        <v>321</v>
      </c>
      <c r="E96" s="193">
        <v>312</v>
      </c>
      <c r="F96" s="193">
        <v>305.39999999999998</v>
      </c>
      <c r="G96" s="193">
        <v>299.2</v>
      </c>
      <c r="H96" s="193">
        <v>288.8</v>
      </c>
      <c r="I96" s="193">
        <v>282.39999999999998</v>
      </c>
      <c r="J96" s="192">
        <v>273.39999999999998</v>
      </c>
      <c r="K96" s="192">
        <v>283</v>
      </c>
      <c r="L96" s="192">
        <v>282</v>
      </c>
      <c r="M96" s="192">
        <v>283</v>
      </c>
      <c r="N96" s="192">
        <v>281</v>
      </c>
      <c r="O96" s="192">
        <v>280</v>
      </c>
      <c r="P96" s="192">
        <v>280</v>
      </c>
      <c r="Q96" s="192">
        <v>277</v>
      </c>
    </row>
    <row r="97" spans="1:17" ht="17.25" thickBot="1" x14ac:dyDescent="0.35">
      <c r="A97" s="203">
        <v>25004</v>
      </c>
      <c r="B97" s="20" t="s">
        <v>291</v>
      </c>
      <c r="C97" s="202" t="s">
        <v>291</v>
      </c>
      <c r="D97" s="193">
        <v>956.46</v>
      </c>
      <c r="E97" s="193">
        <v>924.01</v>
      </c>
      <c r="F97" s="193">
        <v>925.45</v>
      </c>
      <c r="G97" s="193">
        <v>921.09</v>
      </c>
      <c r="H97" s="193">
        <v>876.37</v>
      </c>
      <c r="I97" s="193">
        <v>871.44</v>
      </c>
      <c r="J97" s="192">
        <v>892.97</v>
      </c>
      <c r="K97" s="192">
        <v>911.3</v>
      </c>
      <c r="L97" s="192">
        <v>893.39</v>
      </c>
      <c r="M97" s="192">
        <v>909.49</v>
      </c>
      <c r="N97" s="192">
        <v>908.8</v>
      </c>
      <c r="O97" s="192">
        <v>932.3</v>
      </c>
      <c r="P97" s="192">
        <v>958.25</v>
      </c>
      <c r="Q97" s="192">
        <v>987.2</v>
      </c>
    </row>
    <row r="98" spans="1:17" ht="17.25" thickBot="1" x14ac:dyDescent="0.35">
      <c r="A98" s="203">
        <v>29004</v>
      </c>
      <c r="B98" s="20" t="s">
        <v>292</v>
      </c>
      <c r="C98" s="202" t="s">
        <v>467</v>
      </c>
      <c r="D98" s="193"/>
      <c r="E98" s="193"/>
      <c r="F98" s="193"/>
      <c r="G98" s="193">
        <v>471.07</v>
      </c>
      <c r="H98" s="193">
        <v>451.06</v>
      </c>
      <c r="I98" s="193">
        <v>439.84</v>
      </c>
      <c r="J98" s="192">
        <v>430.04</v>
      </c>
      <c r="K98" s="192">
        <v>436.06</v>
      </c>
      <c r="L98" s="192">
        <v>450.06</v>
      </c>
      <c r="M98" s="192">
        <v>451.44</v>
      </c>
      <c r="N98" s="192">
        <v>457.07</v>
      </c>
      <c r="O98" s="192">
        <v>456.2</v>
      </c>
      <c r="P98" s="192">
        <v>465.05</v>
      </c>
      <c r="Q98" s="192">
        <v>453.04</v>
      </c>
    </row>
    <row r="99" spans="1:17" ht="17.25" thickBot="1" x14ac:dyDescent="0.35">
      <c r="A99" s="203">
        <v>17002</v>
      </c>
      <c r="B99" s="20" t="s">
        <v>293</v>
      </c>
      <c r="C99" s="202" t="s">
        <v>293</v>
      </c>
      <c r="D99" s="193">
        <v>2529.09</v>
      </c>
      <c r="E99" s="193">
        <v>2501.88</v>
      </c>
      <c r="F99" s="193">
        <v>2464.7199999999998</v>
      </c>
      <c r="G99" s="193">
        <v>2432.9899999999998</v>
      </c>
      <c r="H99" s="193">
        <v>2469.8000000000002</v>
      </c>
      <c r="I99" s="193">
        <v>2482.46</v>
      </c>
      <c r="J99" s="192">
        <v>2538.62</v>
      </c>
      <c r="K99" s="192">
        <v>2596.15</v>
      </c>
      <c r="L99" s="192">
        <v>2712.23</v>
      </c>
      <c r="M99" s="192">
        <v>2746.56</v>
      </c>
      <c r="N99" s="192">
        <v>2785.05</v>
      </c>
      <c r="O99" s="192">
        <v>2783.9</v>
      </c>
      <c r="P99" s="192">
        <v>2791.14</v>
      </c>
      <c r="Q99" s="192">
        <v>2795.95</v>
      </c>
    </row>
    <row r="100" spans="1:17" ht="17.25" thickBot="1" x14ac:dyDescent="0.35">
      <c r="A100" s="203">
        <v>62006</v>
      </c>
      <c r="B100" s="20" t="s">
        <v>294</v>
      </c>
      <c r="C100" s="202" t="s">
        <v>294</v>
      </c>
      <c r="D100" s="193"/>
      <c r="E100" s="193"/>
      <c r="F100" s="193"/>
      <c r="G100" s="193">
        <v>639.52</v>
      </c>
      <c r="H100" s="193">
        <v>662.38</v>
      </c>
      <c r="I100" s="193">
        <v>644.29</v>
      </c>
      <c r="J100" s="192">
        <v>672.4</v>
      </c>
      <c r="K100" s="192">
        <v>666.38</v>
      </c>
      <c r="L100" s="192">
        <v>655</v>
      </c>
      <c r="M100" s="192">
        <v>675.03</v>
      </c>
      <c r="N100" s="192">
        <v>682.26</v>
      </c>
      <c r="O100" s="192">
        <v>660.42</v>
      </c>
      <c r="P100" s="192">
        <v>627.02</v>
      </c>
      <c r="Q100" s="192">
        <v>618.41999999999996</v>
      </c>
    </row>
    <row r="101" spans="1:17" ht="17.25" thickBot="1" x14ac:dyDescent="0.35">
      <c r="A101" s="203">
        <v>43002</v>
      </c>
      <c r="B101" s="20" t="s">
        <v>295</v>
      </c>
      <c r="C101" s="202" t="s">
        <v>295</v>
      </c>
      <c r="D101" s="193">
        <v>225</v>
      </c>
      <c r="E101" s="193">
        <v>199</v>
      </c>
      <c r="F101" s="193">
        <v>223</v>
      </c>
      <c r="G101" s="193">
        <v>215</v>
      </c>
      <c r="H101" s="193">
        <v>219</v>
      </c>
      <c r="I101" s="193">
        <v>218</v>
      </c>
      <c r="J101" s="192">
        <v>229</v>
      </c>
      <c r="K101" s="192">
        <v>223</v>
      </c>
      <c r="L101" s="192">
        <v>225</v>
      </c>
      <c r="M101" s="192">
        <v>231</v>
      </c>
      <c r="N101" s="192">
        <v>239</v>
      </c>
      <c r="O101" s="192">
        <v>244</v>
      </c>
      <c r="P101" s="192">
        <v>249</v>
      </c>
      <c r="Q101" s="192">
        <v>239</v>
      </c>
    </row>
    <row r="102" spans="1:17" ht="17.25" thickBot="1" x14ac:dyDescent="0.35">
      <c r="A102" s="203">
        <v>17003</v>
      </c>
      <c r="B102" s="20" t="s">
        <v>296</v>
      </c>
      <c r="C102" s="202" t="s">
        <v>296</v>
      </c>
      <c r="D102" s="193">
        <v>226</v>
      </c>
      <c r="E102" s="193">
        <v>232</v>
      </c>
      <c r="F102" s="193">
        <v>229</v>
      </c>
      <c r="G102" s="193">
        <v>240</v>
      </c>
      <c r="H102" s="193">
        <v>234</v>
      </c>
      <c r="I102" s="193">
        <v>244</v>
      </c>
      <c r="J102" s="192">
        <v>237</v>
      </c>
      <c r="K102" s="192">
        <v>231</v>
      </c>
      <c r="L102" s="192">
        <v>222.2</v>
      </c>
      <c r="M102" s="192">
        <v>208</v>
      </c>
      <c r="N102" s="192">
        <v>205</v>
      </c>
      <c r="O102" s="192">
        <v>200</v>
      </c>
      <c r="P102" s="192">
        <v>215</v>
      </c>
      <c r="Q102" s="192">
        <v>213</v>
      </c>
    </row>
    <row r="103" spans="1:17" ht="17.25" thickBot="1" x14ac:dyDescent="0.35">
      <c r="A103" s="203">
        <v>51003</v>
      </c>
      <c r="B103" s="20" t="s">
        <v>297</v>
      </c>
      <c r="C103" s="202" t="s">
        <v>297</v>
      </c>
      <c r="D103" s="193">
        <v>264</v>
      </c>
      <c r="E103" s="193">
        <v>269</v>
      </c>
      <c r="F103" s="193">
        <v>291</v>
      </c>
      <c r="G103" s="193">
        <v>281</v>
      </c>
      <c r="H103" s="193">
        <v>261</v>
      </c>
      <c r="I103" s="193">
        <v>274</v>
      </c>
      <c r="J103" s="192">
        <v>261</v>
      </c>
      <c r="K103" s="192">
        <v>270.75</v>
      </c>
      <c r="L103" s="192">
        <v>263</v>
      </c>
      <c r="M103" s="192">
        <v>265</v>
      </c>
      <c r="N103" s="192">
        <v>258</v>
      </c>
      <c r="O103" s="192">
        <v>246</v>
      </c>
      <c r="P103" s="192">
        <v>237</v>
      </c>
      <c r="Q103" s="192">
        <v>237</v>
      </c>
    </row>
    <row r="104" spans="1:17" ht="17.25" thickBot="1" x14ac:dyDescent="0.35">
      <c r="A104" s="203">
        <v>9002</v>
      </c>
      <c r="B104" s="20" t="s">
        <v>298</v>
      </c>
      <c r="C104" s="202" t="s">
        <v>298</v>
      </c>
      <c r="D104" s="193">
        <v>357</v>
      </c>
      <c r="E104" s="193">
        <v>355</v>
      </c>
      <c r="F104" s="193">
        <v>340</v>
      </c>
      <c r="G104" s="193">
        <v>326.14</v>
      </c>
      <c r="H104" s="193">
        <v>318</v>
      </c>
      <c r="I104" s="193">
        <v>342</v>
      </c>
      <c r="J104" s="192">
        <v>341</v>
      </c>
      <c r="K104" s="192">
        <v>333</v>
      </c>
      <c r="L104" s="192">
        <v>325.7</v>
      </c>
      <c r="M104" s="192">
        <v>331</v>
      </c>
      <c r="N104" s="192">
        <v>288.72000000000003</v>
      </c>
      <c r="O104" s="192">
        <v>297.47000000000003</v>
      </c>
      <c r="P104" s="192">
        <v>292</v>
      </c>
      <c r="Q104" s="192">
        <v>285</v>
      </c>
    </row>
    <row r="105" spans="1:17" ht="17.25" thickBot="1" x14ac:dyDescent="0.35">
      <c r="A105" s="203">
        <v>56007</v>
      </c>
      <c r="B105" s="20" t="s">
        <v>299</v>
      </c>
      <c r="C105" s="202" t="s">
        <v>299</v>
      </c>
      <c r="D105" s="193">
        <v>279</v>
      </c>
      <c r="E105" s="193">
        <v>270</v>
      </c>
      <c r="F105" s="193">
        <v>271</v>
      </c>
      <c r="G105" s="193">
        <v>315</v>
      </c>
      <c r="H105" s="193">
        <v>311</v>
      </c>
      <c r="I105" s="193">
        <v>305</v>
      </c>
      <c r="J105" s="192">
        <v>309</v>
      </c>
      <c r="K105" s="192">
        <v>257</v>
      </c>
      <c r="L105" s="192">
        <v>260</v>
      </c>
      <c r="M105" s="192">
        <v>236</v>
      </c>
      <c r="N105" s="192">
        <v>243</v>
      </c>
      <c r="O105" s="192">
        <v>227</v>
      </c>
      <c r="P105" s="192">
        <v>254</v>
      </c>
      <c r="Q105" s="192">
        <v>266</v>
      </c>
    </row>
    <row r="106" spans="1:17" ht="17.25" thickBot="1" x14ac:dyDescent="0.35">
      <c r="A106" s="203">
        <v>23003</v>
      </c>
      <c r="B106" s="20" t="s">
        <v>300</v>
      </c>
      <c r="C106" s="202" t="s">
        <v>300</v>
      </c>
      <c r="D106" s="193">
        <v>83</v>
      </c>
      <c r="E106" s="193">
        <v>97</v>
      </c>
      <c r="F106" s="193">
        <v>91</v>
      </c>
      <c r="G106" s="193">
        <v>139</v>
      </c>
      <c r="H106" s="193">
        <v>127</v>
      </c>
      <c r="I106" s="193">
        <v>123</v>
      </c>
      <c r="J106" s="192">
        <v>125</v>
      </c>
      <c r="K106" s="192">
        <v>115</v>
      </c>
      <c r="L106" s="192">
        <v>123</v>
      </c>
      <c r="M106" s="192">
        <v>112</v>
      </c>
      <c r="N106" s="192">
        <v>98</v>
      </c>
      <c r="O106" s="192">
        <v>136</v>
      </c>
      <c r="P106" s="192">
        <v>134</v>
      </c>
      <c r="Q106" s="192">
        <v>136</v>
      </c>
    </row>
    <row r="107" spans="1:17" ht="17.25" thickBot="1" x14ac:dyDescent="0.35">
      <c r="A107" s="203">
        <v>65001</v>
      </c>
      <c r="B107" s="20" t="s">
        <v>301</v>
      </c>
      <c r="C107" s="202" t="s">
        <v>373</v>
      </c>
      <c r="D107" s="193">
        <v>1004.48</v>
      </c>
      <c r="E107" s="193">
        <v>938.69</v>
      </c>
      <c r="F107" s="193">
        <v>1135.1400000000001</v>
      </c>
      <c r="G107" s="193">
        <v>1197.1600000000001</v>
      </c>
      <c r="H107" s="193">
        <v>1123.96</v>
      </c>
      <c r="I107" s="193">
        <v>1229.3399999999999</v>
      </c>
      <c r="J107" s="192">
        <v>1289.4000000000001</v>
      </c>
      <c r="K107" s="192">
        <v>1319.48</v>
      </c>
      <c r="L107" s="192">
        <v>1391.42</v>
      </c>
      <c r="M107" s="192">
        <v>1373.18</v>
      </c>
      <c r="N107" s="192">
        <v>1438.18</v>
      </c>
      <c r="O107" s="192">
        <v>1402.8</v>
      </c>
      <c r="P107" s="192">
        <v>1371.56</v>
      </c>
      <c r="Q107" s="192">
        <v>1339.16</v>
      </c>
    </row>
    <row r="108" spans="1:17" ht="17.25" thickBot="1" x14ac:dyDescent="0.35">
      <c r="A108" s="203">
        <v>39005</v>
      </c>
      <c r="B108" s="20" t="s">
        <v>302</v>
      </c>
      <c r="C108" s="202" t="s">
        <v>302</v>
      </c>
      <c r="D108" s="193">
        <v>128</v>
      </c>
      <c r="E108" s="193">
        <v>121</v>
      </c>
      <c r="F108" s="193">
        <v>119</v>
      </c>
      <c r="G108" s="193">
        <v>107</v>
      </c>
      <c r="H108" s="193">
        <v>104</v>
      </c>
      <c r="I108" s="193">
        <v>125</v>
      </c>
      <c r="J108" s="192">
        <v>123</v>
      </c>
      <c r="K108" s="192">
        <v>123</v>
      </c>
      <c r="L108" s="192">
        <v>124</v>
      </c>
      <c r="M108" s="192">
        <v>133</v>
      </c>
      <c r="N108" s="192">
        <v>153</v>
      </c>
      <c r="O108" s="192">
        <v>158</v>
      </c>
      <c r="P108" s="192">
        <v>153</v>
      </c>
      <c r="Q108" s="192">
        <v>170</v>
      </c>
    </row>
    <row r="109" spans="1:17" ht="17.25" thickBot="1" x14ac:dyDescent="0.35">
      <c r="A109" s="203">
        <v>60004</v>
      </c>
      <c r="B109" s="20" t="s">
        <v>303</v>
      </c>
      <c r="C109" s="202" t="s">
        <v>303</v>
      </c>
      <c r="D109" s="193">
        <v>406</v>
      </c>
      <c r="E109" s="193">
        <v>383</v>
      </c>
      <c r="F109" s="193">
        <v>352</v>
      </c>
      <c r="G109" s="193">
        <v>356</v>
      </c>
      <c r="H109" s="193">
        <v>344</v>
      </c>
      <c r="I109" s="193">
        <v>360</v>
      </c>
      <c r="J109" s="192">
        <v>351</v>
      </c>
      <c r="K109" s="192">
        <v>364.51</v>
      </c>
      <c r="L109" s="192">
        <v>362.5</v>
      </c>
      <c r="M109" s="192">
        <v>383</v>
      </c>
      <c r="N109" s="192">
        <v>392.4</v>
      </c>
      <c r="O109" s="192">
        <v>419</v>
      </c>
      <c r="P109" s="192">
        <v>442</v>
      </c>
      <c r="Q109" s="192">
        <v>437</v>
      </c>
    </row>
    <row r="110" spans="1:17" ht="17.25" thickBot="1" x14ac:dyDescent="0.35">
      <c r="A110" s="203">
        <v>33003</v>
      </c>
      <c r="B110" s="20" t="s">
        <v>304</v>
      </c>
      <c r="C110" s="202" t="s">
        <v>304</v>
      </c>
      <c r="D110" s="193">
        <v>638.1</v>
      </c>
      <c r="E110" s="193">
        <v>650</v>
      </c>
      <c r="F110" s="193">
        <v>602</v>
      </c>
      <c r="G110" s="193">
        <v>578</v>
      </c>
      <c r="H110" s="193">
        <v>594</v>
      </c>
      <c r="I110" s="193">
        <v>566.03</v>
      </c>
      <c r="J110" s="192">
        <v>557</v>
      </c>
      <c r="K110" s="192">
        <v>536</v>
      </c>
      <c r="L110" s="192">
        <v>556</v>
      </c>
      <c r="M110" s="192">
        <v>536</v>
      </c>
      <c r="N110" s="192">
        <v>530.77</v>
      </c>
      <c r="O110" s="192">
        <v>516.69000000000005</v>
      </c>
      <c r="P110" s="192">
        <v>521.03</v>
      </c>
      <c r="Q110" s="192">
        <v>534</v>
      </c>
    </row>
    <row r="111" spans="1:17" ht="17.25" thickBot="1" x14ac:dyDescent="0.35">
      <c r="A111" s="203">
        <v>32002</v>
      </c>
      <c r="B111" s="20" t="s">
        <v>305</v>
      </c>
      <c r="C111" s="202" t="s">
        <v>305</v>
      </c>
      <c r="D111" s="193">
        <v>2570.15</v>
      </c>
      <c r="E111" s="193">
        <v>2555.12</v>
      </c>
      <c r="F111" s="193">
        <v>2581.88</v>
      </c>
      <c r="G111" s="193">
        <v>2622.4</v>
      </c>
      <c r="H111" s="193">
        <v>2537.35</v>
      </c>
      <c r="I111" s="193">
        <v>2593.1999999999998</v>
      </c>
      <c r="J111" s="192">
        <v>2509.23</v>
      </c>
      <c r="K111" s="192">
        <v>2624.3</v>
      </c>
      <c r="L111" s="192">
        <v>2643.51</v>
      </c>
      <c r="M111" s="192">
        <v>2652.3</v>
      </c>
      <c r="N111" s="192">
        <v>2664.56</v>
      </c>
      <c r="O111" s="192">
        <v>2682.24</v>
      </c>
      <c r="P111" s="192">
        <v>2716.42</v>
      </c>
      <c r="Q111" s="192">
        <v>2669</v>
      </c>
    </row>
    <row r="112" spans="1:17" ht="17.25" thickBot="1" x14ac:dyDescent="0.35">
      <c r="A112" s="203">
        <v>1001</v>
      </c>
      <c r="B112" s="20" t="s">
        <v>306</v>
      </c>
      <c r="C112" s="202" t="s">
        <v>306</v>
      </c>
      <c r="D112" s="193">
        <v>205.01</v>
      </c>
      <c r="E112" s="193">
        <v>198.01</v>
      </c>
      <c r="F112" s="193">
        <v>224.02</v>
      </c>
      <c r="G112" s="193">
        <v>265</v>
      </c>
      <c r="H112" s="193">
        <v>270</v>
      </c>
      <c r="I112" s="193">
        <v>279</v>
      </c>
      <c r="J112" s="192">
        <v>310</v>
      </c>
      <c r="K112" s="192">
        <v>309</v>
      </c>
      <c r="L112" s="192">
        <v>311</v>
      </c>
      <c r="M112" s="192">
        <v>330</v>
      </c>
      <c r="N112" s="192">
        <v>338</v>
      </c>
      <c r="O112" s="192">
        <v>309</v>
      </c>
      <c r="P112" s="192">
        <v>299</v>
      </c>
      <c r="Q112" s="192">
        <v>341</v>
      </c>
    </row>
    <row r="113" spans="1:17" ht="17.25" thickBot="1" x14ac:dyDescent="0.35">
      <c r="A113" s="203">
        <v>11005</v>
      </c>
      <c r="B113" s="20" t="s">
        <v>307</v>
      </c>
      <c r="C113" s="202" t="s">
        <v>307</v>
      </c>
      <c r="D113" s="193"/>
      <c r="E113" s="193">
        <f>E240+E241</f>
        <v>0</v>
      </c>
      <c r="F113" s="193">
        <v>455.42</v>
      </c>
      <c r="G113" s="193">
        <v>441.38</v>
      </c>
      <c r="H113" s="193">
        <v>436.27</v>
      </c>
      <c r="I113" s="193">
        <v>447.18</v>
      </c>
      <c r="J113" s="192">
        <v>439.01</v>
      </c>
      <c r="K113" s="192">
        <v>437.2</v>
      </c>
      <c r="L113" s="192">
        <v>457.4</v>
      </c>
      <c r="M113" s="192">
        <v>466</v>
      </c>
      <c r="N113" s="192">
        <v>484.05</v>
      </c>
      <c r="O113" s="192">
        <v>500.08</v>
      </c>
      <c r="P113" s="192">
        <v>503.4</v>
      </c>
      <c r="Q113" s="192">
        <v>503.37</v>
      </c>
    </row>
    <row r="114" spans="1:17" ht="17.25" thickBot="1" x14ac:dyDescent="0.35">
      <c r="A114" s="203">
        <v>51004</v>
      </c>
      <c r="B114" s="20" t="s">
        <v>308</v>
      </c>
      <c r="C114" s="202" t="s">
        <v>308</v>
      </c>
      <c r="D114" s="193">
        <v>13003.18</v>
      </c>
      <c r="E114" s="193">
        <v>13137.69</v>
      </c>
      <c r="F114" s="193">
        <v>13090.41</v>
      </c>
      <c r="G114" s="193">
        <v>13149.29</v>
      </c>
      <c r="H114" s="193">
        <v>13170.67</v>
      </c>
      <c r="I114" s="193">
        <v>13271.2</v>
      </c>
      <c r="J114" s="192">
        <v>13545.36</v>
      </c>
      <c r="K114" s="192">
        <v>13916.64</v>
      </c>
      <c r="L114" s="192">
        <v>13811.58</v>
      </c>
      <c r="M114" s="192">
        <v>13842.35</v>
      </c>
      <c r="N114" s="192">
        <v>13638.6</v>
      </c>
      <c r="O114" s="192">
        <v>13656.02</v>
      </c>
      <c r="P114" s="192">
        <v>13628.25</v>
      </c>
      <c r="Q114" s="192">
        <v>13679.67</v>
      </c>
    </row>
    <row r="115" spans="1:17" ht="17.25" thickBot="1" x14ac:dyDescent="0.35">
      <c r="A115" s="203">
        <v>56004</v>
      </c>
      <c r="B115" s="20" t="s">
        <v>309</v>
      </c>
      <c r="C115" s="202" t="s">
        <v>309</v>
      </c>
      <c r="D115" s="193">
        <v>623</v>
      </c>
      <c r="E115" s="193">
        <v>613.15</v>
      </c>
      <c r="F115" s="193">
        <v>613.79999999999995</v>
      </c>
      <c r="G115" s="193">
        <v>606.6</v>
      </c>
      <c r="H115" s="193">
        <v>607.4</v>
      </c>
      <c r="I115" s="193">
        <v>627</v>
      </c>
      <c r="J115" s="192">
        <v>611.1</v>
      </c>
      <c r="K115" s="192">
        <v>619</v>
      </c>
      <c r="L115" s="192">
        <v>623.45000000000005</v>
      </c>
      <c r="M115" s="192">
        <v>643.5</v>
      </c>
      <c r="N115" s="192">
        <v>600.54999999999995</v>
      </c>
      <c r="O115" s="192">
        <v>617.35</v>
      </c>
      <c r="P115" s="192">
        <v>592.05999999999995</v>
      </c>
      <c r="Q115" s="192">
        <v>591.65</v>
      </c>
    </row>
    <row r="116" spans="1:17" ht="17.25" thickBot="1" x14ac:dyDescent="0.35">
      <c r="A116" s="203">
        <v>54004</v>
      </c>
      <c r="B116" s="20" t="s">
        <v>310</v>
      </c>
      <c r="C116" s="202" t="s">
        <v>310</v>
      </c>
      <c r="D116" s="193">
        <v>214</v>
      </c>
      <c r="E116" s="193">
        <v>199.05</v>
      </c>
      <c r="F116" s="193">
        <v>207</v>
      </c>
      <c r="G116" s="193">
        <v>217</v>
      </c>
      <c r="H116" s="193">
        <v>215</v>
      </c>
      <c r="I116" s="193">
        <v>227</v>
      </c>
      <c r="J116" s="192">
        <v>224</v>
      </c>
      <c r="K116" s="192">
        <v>224</v>
      </c>
      <c r="L116" s="192">
        <v>211</v>
      </c>
      <c r="M116" s="192">
        <v>214</v>
      </c>
      <c r="N116" s="192">
        <v>230</v>
      </c>
      <c r="O116" s="192">
        <v>229</v>
      </c>
      <c r="P116" s="192">
        <v>244</v>
      </c>
      <c r="Q116" s="192">
        <v>249</v>
      </c>
    </row>
    <row r="117" spans="1:17" ht="17.25" thickBot="1" x14ac:dyDescent="0.35">
      <c r="A117" s="203">
        <v>39004</v>
      </c>
      <c r="B117" s="20" t="s">
        <v>311</v>
      </c>
      <c r="C117" s="202" t="s">
        <v>311</v>
      </c>
      <c r="D117" s="193">
        <v>110</v>
      </c>
      <c r="E117" s="193">
        <v>113</v>
      </c>
      <c r="F117" s="193">
        <v>122</v>
      </c>
      <c r="G117" s="193">
        <v>128</v>
      </c>
      <c r="H117" s="193">
        <v>120</v>
      </c>
      <c r="I117" s="193">
        <v>132</v>
      </c>
      <c r="J117" s="192">
        <v>126</v>
      </c>
      <c r="K117" s="192">
        <v>144</v>
      </c>
      <c r="L117" s="192">
        <v>156</v>
      </c>
      <c r="M117" s="192">
        <v>157</v>
      </c>
      <c r="N117" s="192">
        <v>157</v>
      </c>
      <c r="O117" s="192">
        <v>163</v>
      </c>
      <c r="P117" s="192">
        <v>176</v>
      </c>
      <c r="Q117" s="192">
        <v>187</v>
      </c>
    </row>
    <row r="118" spans="1:17" ht="17.25" thickBot="1" x14ac:dyDescent="0.35">
      <c r="A118" s="203">
        <v>55005</v>
      </c>
      <c r="B118" s="20" t="s">
        <v>312</v>
      </c>
      <c r="C118" s="202" t="s">
        <v>312</v>
      </c>
      <c r="D118" s="193">
        <v>250</v>
      </c>
      <c r="E118" s="193">
        <v>223</v>
      </c>
      <c r="F118" s="193">
        <v>225</v>
      </c>
      <c r="G118" s="193">
        <v>190</v>
      </c>
      <c r="H118" s="193">
        <v>200</v>
      </c>
      <c r="I118" s="193">
        <v>212</v>
      </c>
      <c r="J118" s="192">
        <v>199</v>
      </c>
      <c r="K118" s="192">
        <v>191</v>
      </c>
      <c r="L118" s="192">
        <v>197</v>
      </c>
      <c r="M118" s="192">
        <v>186</v>
      </c>
      <c r="N118" s="192">
        <v>183</v>
      </c>
      <c r="O118" s="192">
        <v>190</v>
      </c>
      <c r="P118" s="192">
        <v>180</v>
      </c>
      <c r="Q118" s="192">
        <v>189</v>
      </c>
    </row>
    <row r="119" spans="1:17" ht="17.25" thickBot="1" x14ac:dyDescent="0.35">
      <c r="A119" s="203">
        <v>4003</v>
      </c>
      <c r="B119" s="20" t="s">
        <v>313</v>
      </c>
      <c r="C119" s="202" t="s">
        <v>313</v>
      </c>
      <c r="D119" s="193">
        <v>284</v>
      </c>
      <c r="E119" s="193">
        <v>278.2</v>
      </c>
      <c r="F119" s="193">
        <v>259</v>
      </c>
      <c r="G119" s="193">
        <v>247</v>
      </c>
      <c r="H119" s="193">
        <v>249.9</v>
      </c>
      <c r="I119" s="193">
        <v>262</v>
      </c>
      <c r="J119" s="192">
        <v>262</v>
      </c>
      <c r="K119" s="192">
        <v>258</v>
      </c>
      <c r="L119" s="192">
        <v>264</v>
      </c>
      <c r="M119" s="192">
        <v>262</v>
      </c>
      <c r="N119" s="192">
        <v>252</v>
      </c>
      <c r="O119" s="192">
        <v>267</v>
      </c>
      <c r="P119" s="192">
        <v>266</v>
      </c>
      <c r="Q119" s="192">
        <v>253</v>
      </c>
    </row>
    <row r="120" spans="1:17" ht="17.25" thickBot="1" x14ac:dyDescent="0.35">
      <c r="A120" s="203">
        <v>62005</v>
      </c>
      <c r="B120" s="20" t="s">
        <v>314</v>
      </c>
      <c r="C120" s="202" t="s">
        <v>371</v>
      </c>
      <c r="D120" s="193">
        <v>210</v>
      </c>
      <c r="E120" s="193">
        <v>200</v>
      </c>
      <c r="F120" s="193">
        <v>201</v>
      </c>
      <c r="G120" s="193">
        <v>185</v>
      </c>
      <c r="H120" s="193">
        <v>199</v>
      </c>
      <c r="I120" s="193">
        <v>204</v>
      </c>
      <c r="J120" s="192">
        <v>187</v>
      </c>
      <c r="K120" s="192">
        <v>182</v>
      </c>
      <c r="L120" s="192">
        <v>189</v>
      </c>
      <c r="M120" s="192">
        <v>176</v>
      </c>
      <c r="N120" s="192">
        <v>177</v>
      </c>
      <c r="O120" s="192">
        <v>193</v>
      </c>
      <c r="P120" s="192">
        <v>184</v>
      </c>
      <c r="Q120" s="192">
        <v>183</v>
      </c>
    </row>
    <row r="121" spans="1:17" ht="17.25" thickBot="1" x14ac:dyDescent="0.35">
      <c r="A121" s="203">
        <v>49005</v>
      </c>
      <c r="B121" s="20" t="s">
        <v>315</v>
      </c>
      <c r="C121" s="202" t="s">
        <v>315</v>
      </c>
      <c r="D121" s="193">
        <v>19715.95</v>
      </c>
      <c r="E121" s="193">
        <v>19943.87</v>
      </c>
      <c r="F121" s="193">
        <v>20144.03</v>
      </c>
      <c r="G121" s="193">
        <v>20448.47</v>
      </c>
      <c r="H121" s="193">
        <v>21004.5</v>
      </c>
      <c r="I121" s="193">
        <v>21495.45</v>
      </c>
      <c r="J121" s="192">
        <v>22071.08</v>
      </c>
      <c r="K121" s="192">
        <v>22428.7</v>
      </c>
      <c r="L121" s="192">
        <v>22691.95</v>
      </c>
      <c r="M121" s="192">
        <v>23119.47</v>
      </c>
      <c r="N121" s="192">
        <v>23354.89</v>
      </c>
      <c r="O121" s="192">
        <v>23744.41</v>
      </c>
      <c r="P121" s="192">
        <v>23924.25</v>
      </c>
      <c r="Q121" s="192">
        <v>24024.78</v>
      </c>
    </row>
    <row r="122" spans="1:17" ht="17.25" thickBot="1" x14ac:dyDescent="0.35">
      <c r="A122" s="203">
        <v>5005</v>
      </c>
      <c r="B122" s="20" t="s">
        <v>316</v>
      </c>
      <c r="C122" s="202" t="s">
        <v>316</v>
      </c>
      <c r="D122" s="193">
        <v>569.14</v>
      </c>
      <c r="E122" s="193">
        <v>568.28</v>
      </c>
      <c r="F122" s="193">
        <v>585.28</v>
      </c>
      <c r="G122" s="193">
        <v>588.83000000000004</v>
      </c>
      <c r="H122" s="193">
        <v>571.65</v>
      </c>
      <c r="I122" s="193">
        <v>577.42999999999995</v>
      </c>
      <c r="J122" s="192">
        <v>574.79999999999995</v>
      </c>
      <c r="K122" s="192">
        <v>560.80999999999995</v>
      </c>
      <c r="L122" s="192">
        <v>582.41999999999996</v>
      </c>
      <c r="M122" s="192">
        <v>633.26</v>
      </c>
      <c r="N122" s="192">
        <v>643.42999999999995</v>
      </c>
      <c r="O122" s="192">
        <v>674.85</v>
      </c>
      <c r="P122" s="192">
        <v>659.05</v>
      </c>
      <c r="Q122" s="192">
        <v>682.67</v>
      </c>
    </row>
    <row r="123" spans="1:17" ht="17.25" thickBot="1" x14ac:dyDescent="0.35">
      <c r="A123" s="203">
        <v>54002</v>
      </c>
      <c r="B123" s="20" t="s">
        <v>317</v>
      </c>
      <c r="C123" s="202" t="s">
        <v>317</v>
      </c>
      <c r="D123" s="193">
        <v>1065</v>
      </c>
      <c r="E123" s="193">
        <v>1005</v>
      </c>
      <c r="F123" s="193">
        <v>1032</v>
      </c>
      <c r="G123" s="193">
        <v>959.73</v>
      </c>
      <c r="H123" s="193">
        <v>931.59</v>
      </c>
      <c r="I123" s="193">
        <v>938.2</v>
      </c>
      <c r="J123" s="192">
        <v>961.6</v>
      </c>
      <c r="K123" s="192">
        <v>920</v>
      </c>
      <c r="L123" s="192">
        <v>905</v>
      </c>
      <c r="M123" s="192">
        <v>925</v>
      </c>
      <c r="N123" s="192">
        <v>904</v>
      </c>
      <c r="O123" s="192">
        <v>894</v>
      </c>
      <c r="P123" s="192">
        <v>885</v>
      </c>
      <c r="Q123" s="192">
        <v>897</v>
      </c>
    </row>
    <row r="124" spans="1:17" ht="17.25" thickBot="1" x14ac:dyDescent="0.35">
      <c r="A124" s="203">
        <v>15003</v>
      </c>
      <c r="B124" s="20" t="s">
        <v>318</v>
      </c>
      <c r="C124" s="202" t="s">
        <v>318</v>
      </c>
      <c r="D124" s="193">
        <v>245</v>
      </c>
      <c r="E124" s="193">
        <v>247.5</v>
      </c>
      <c r="F124" s="193">
        <v>217</v>
      </c>
      <c r="G124" s="193">
        <v>209</v>
      </c>
      <c r="H124" s="193">
        <v>203.15</v>
      </c>
      <c r="I124" s="193">
        <v>194</v>
      </c>
      <c r="J124" s="192">
        <v>190.5</v>
      </c>
      <c r="K124" s="192">
        <v>204</v>
      </c>
      <c r="L124" s="192">
        <v>180</v>
      </c>
      <c r="M124" s="192">
        <v>184.5</v>
      </c>
      <c r="N124" s="192">
        <v>164</v>
      </c>
      <c r="O124" s="192">
        <v>173</v>
      </c>
      <c r="P124" s="192">
        <v>197</v>
      </c>
      <c r="Q124" s="192">
        <v>179</v>
      </c>
    </row>
    <row r="125" spans="1:17" ht="17.25" thickBot="1" x14ac:dyDescent="0.35">
      <c r="A125" s="203">
        <v>26005</v>
      </c>
      <c r="B125" s="20" t="s">
        <v>319</v>
      </c>
      <c r="C125" s="202" t="s">
        <v>319</v>
      </c>
      <c r="D125" s="193">
        <v>135</v>
      </c>
      <c r="E125" s="193">
        <v>124</v>
      </c>
      <c r="F125" s="193">
        <v>128</v>
      </c>
      <c r="G125" s="193">
        <v>128</v>
      </c>
      <c r="H125" s="193">
        <v>140</v>
      </c>
      <c r="I125" s="193">
        <v>136</v>
      </c>
      <c r="J125" s="192">
        <v>132</v>
      </c>
      <c r="K125" s="192">
        <v>122</v>
      </c>
      <c r="L125" s="192">
        <v>110</v>
      </c>
      <c r="M125" s="192">
        <v>111</v>
      </c>
      <c r="N125" s="192">
        <v>107</v>
      </c>
      <c r="O125" s="192">
        <v>97</v>
      </c>
      <c r="P125" s="192">
        <v>98</v>
      </c>
      <c r="Q125" s="192">
        <v>86</v>
      </c>
    </row>
    <row r="126" spans="1:17" ht="17.25" thickBot="1" x14ac:dyDescent="0.35">
      <c r="A126" s="203">
        <v>40002</v>
      </c>
      <c r="B126" s="20" t="s">
        <v>320</v>
      </c>
      <c r="C126" s="202" t="s">
        <v>320</v>
      </c>
      <c r="D126" s="193">
        <v>1961.1</v>
      </c>
      <c r="E126" s="193">
        <v>1998.8</v>
      </c>
      <c r="F126" s="193">
        <v>1929.84</v>
      </c>
      <c r="G126" s="193">
        <v>1945.01</v>
      </c>
      <c r="H126" s="193">
        <v>1943.85</v>
      </c>
      <c r="I126" s="193">
        <v>1963.66</v>
      </c>
      <c r="J126" s="192">
        <v>1961.59</v>
      </c>
      <c r="K126" s="192">
        <v>2045.53</v>
      </c>
      <c r="L126" s="192">
        <v>2142.8000000000002</v>
      </c>
      <c r="M126" s="192">
        <v>2207.42</v>
      </c>
      <c r="N126" s="192">
        <v>2237.0100000000002</v>
      </c>
      <c r="O126" s="192">
        <v>2327.85</v>
      </c>
      <c r="P126" s="192">
        <v>2398.14</v>
      </c>
      <c r="Q126" s="192">
        <v>2390.0700000000002</v>
      </c>
    </row>
    <row r="127" spans="1:17" ht="17.25" thickBot="1" x14ac:dyDescent="0.35">
      <c r="A127" s="203">
        <v>57001</v>
      </c>
      <c r="B127" s="20" t="s">
        <v>321</v>
      </c>
      <c r="C127" s="202" t="s">
        <v>321</v>
      </c>
      <c r="D127" s="193">
        <v>517.6</v>
      </c>
      <c r="E127" s="193">
        <v>505.18</v>
      </c>
      <c r="F127" s="193">
        <v>494.16</v>
      </c>
      <c r="G127" s="193">
        <v>471</v>
      </c>
      <c r="H127" s="193">
        <v>485.7</v>
      </c>
      <c r="I127" s="193">
        <v>451</v>
      </c>
      <c r="J127" s="192">
        <v>424.6</v>
      </c>
      <c r="K127" s="192">
        <v>447</v>
      </c>
      <c r="L127" s="192">
        <v>418.61</v>
      </c>
      <c r="M127" s="192">
        <v>433.17</v>
      </c>
      <c r="N127" s="192">
        <v>427</v>
      </c>
      <c r="O127" s="192">
        <v>436</v>
      </c>
      <c r="P127" s="192">
        <v>449</v>
      </c>
      <c r="Q127" s="192">
        <v>435.86</v>
      </c>
    </row>
    <row r="128" spans="1:17" ht="17.25" thickBot="1" x14ac:dyDescent="0.35">
      <c r="A128" s="203">
        <v>54006</v>
      </c>
      <c r="B128" s="20" t="s">
        <v>322</v>
      </c>
      <c r="C128" s="202" t="s">
        <v>322</v>
      </c>
      <c r="D128" s="193">
        <v>124.3</v>
      </c>
      <c r="E128" s="193">
        <v>119</v>
      </c>
      <c r="F128" s="193">
        <v>125</v>
      </c>
      <c r="G128" s="193">
        <v>121</v>
      </c>
      <c r="H128" s="193">
        <v>122</v>
      </c>
      <c r="I128" s="193">
        <v>144</v>
      </c>
      <c r="J128" s="192">
        <v>142</v>
      </c>
      <c r="K128" s="192">
        <v>146</v>
      </c>
      <c r="L128" s="192">
        <v>164</v>
      </c>
      <c r="M128" s="192">
        <v>141</v>
      </c>
      <c r="N128" s="192">
        <v>153</v>
      </c>
      <c r="O128" s="192">
        <v>143</v>
      </c>
      <c r="P128" s="192">
        <v>150</v>
      </c>
      <c r="Q128" s="192">
        <v>158</v>
      </c>
    </row>
    <row r="129" spans="1:17" ht="17.25" thickBot="1" x14ac:dyDescent="0.35">
      <c r="A129" s="203">
        <v>41005</v>
      </c>
      <c r="B129" s="20" t="s">
        <v>323</v>
      </c>
      <c r="C129" s="202" t="s">
        <v>323</v>
      </c>
      <c r="D129" s="193">
        <v>966.92</v>
      </c>
      <c r="E129" s="193">
        <v>1032.1300000000001</v>
      </c>
      <c r="F129" s="193">
        <v>1123.92</v>
      </c>
      <c r="G129" s="193">
        <v>1187</v>
      </c>
      <c r="H129" s="193">
        <v>1212.48</v>
      </c>
      <c r="I129" s="193">
        <v>1292.24</v>
      </c>
      <c r="J129" s="192">
        <v>1364</v>
      </c>
      <c r="K129" s="192">
        <v>1459</v>
      </c>
      <c r="L129" s="192">
        <v>1496.38</v>
      </c>
      <c r="M129" s="192">
        <v>1500</v>
      </c>
      <c r="N129" s="192">
        <v>1608.23</v>
      </c>
      <c r="O129" s="192">
        <v>1709.51</v>
      </c>
      <c r="P129" s="192">
        <v>1791.25</v>
      </c>
      <c r="Q129" s="192">
        <v>1906.5</v>
      </c>
    </row>
    <row r="130" spans="1:17" ht="17.25" thickBot="1" x14ac:dyDescent="0.35">
      <c r="A130" s="203">
        <v>20003</v>
      </c>
      <c r="B130" s="20" t="s">
        <v>324</v>
      </c>
      <c r="C130" s="202" t="s">
        <v>324</v>
      </c>
      <c r="D130" s="193">
        <v>272</v>
      </c>
      <c r="E130" s="193">
        <v>263</v>
      </c>
      <c r="F130" s="193">
        <v>245</v>
      </c>
      <c r="G130" s="193">
        <v>253</v>
      </c>
      <c r="H130" s="193">
        <v>308</v>
      </c>
      <c r="I130" s="193">
        <v>317</v>
      </c>
      <c r="J130" s="192">
        <v>323</v>
      </c>
      <c r="K130" s="192">
        <v>331</v>
      </c>
      <c r="L130" s="192">
        <v>352</v>
      </c>
      <c r="M130" s="192">
        <v>341</v>
      </c>
      <c r="N130" s="192">
        <v>329</v>
      </c>
      <c r="O130" s="192">
        <v>339</v>
      </c>
      <c r="P130" s="192">
        <v>352.29</v>
      </c>
      <c r="Q130" s="192">
        <v>335</v>
      </c>
    </row>
    <row r="131" spans="1:17" ht="17.25" thickBot="1" x14ac:dyDescent="0.35">
      <c r="A131" s="203">
        <v>66001</v>
      </c>
      <c r="B131" s="20" t="s">
        <v>325</v>
      </c>
      <c r="C131" s="202" t="s">
        <v>325</v>
      </c>
      <c r="D131" s="193">
        <v>2032</v>
      </c>
      <c r="E131" s="193">
        <v>2045</v>
      </c>
      <c r="F131" s="193">
        <v>2002</v>
      </c>
      <c r="G131" s="193">
        <v>1977.19</v>
      </c>
      <c r="H131" s="193">
        <v>2032.13</v>
      </c>
      <c r="I131" s="193">
        <v>2055.63</v>
      </c>
      <c r="J131" s="192">
        <v>2126.12</v>
      </c>
      <c r="K131" s="192">
        <v>2102.12</v>
      </c>
      <c r="L131" s="192">
        <v>2098</v>
      </c>
      <c r="M131" s="192">
        <v>2054</v>
      </c>
      <c r="N131" s="192">
        <v>2024.3</v>
      </c>
      <c r="O131" s="192">
        <v>2042.31</v>
      </c>
      <c r="P131" s="192">
        <v>2060.3000000000002</v>
      </c>
      <c r="Q131" s="192">
        <v>2106.8000000000002</v>
      </c>
    </row>
    <row r="132" spans="1:17" ht="17.25" thickBot="1" x14ac:dyDescent="0.35">
      <c r="A132" s="203">
        <v>33005</v>
      </c>
      <c r="B132" s="20" t="s">
        <v>326</v>
      </c>
      <c r="C132" s="202" t="s">
        <v>326</v>
      </c>
      <c r="D132" s="193">
        <v>252</v>
      </c>
      <c r="E132" s="193">
        <v>231</v>
      </c>
      <c r="F132" s="193">
        <v>215</v>
      </c>
      <c r="G132" s="193">
        <v>235</v>
      </c>
      <c r="H132" s="193">
        <v>222</v>
      </c>
      <c r="I132" s="193">
        <v>207</v>
      </c>
      <c r="J132" s="192">
        <v>178</v>
      </c>
      <c r="K132" s="192">
        <v>182</v>
      </c>
      <c r="L132" s="192">
        <v>191</v>
      </c>
      <c r="M132" s="192">
        <v>166</v>
      </c>
      <c r="N132" s="192">
        <v>158</v>
      </c>
      <c r="O132" s="192">
        <v>151</v>
      </c>
      <c r="P132" s="192">
        <v>151</v>
      </c>
      <c r="Q132" s="192">
        <v>130</v>
      </c>
    </row>
    <row r="133" spans="1:17" ht="17.25" thickBot="1" x14ac:dyDescent="0.35">
      <c r="A133" s="203">
        <v>49006</v>
      </c>
      <c r="B133" s="20" t="s">
        <v>327</v>
      </c>
      <c r="C133" s="202" t="s">
        <v>327</v>
      </c>
      <c r="D133" s="193">
        <v>839.5</v>
      </c>
      <c r="E133" s="193">
        <v>858.65</v>
      </c>
      <c r="F133" s="193">
        <v>873.05</v>
      </c>
      <c r="G133" s="193">
        <v>856.05</v>
      </c>
      <c r="H133" s="193">
        <v>842.01</v>
      </c>
      <c r="I133" s="193">
        <v>848.45</v>
      </c>
      <c r="J133" s="192">
        <v>812.93</v>
      </c>
      <c r="K133" s="192">
        <v>836</v>
      </c>
      <c r="L133" s="192">
        <v>809</v>
      </c>
      <c r="M133" s="192">
        <v>848</v>
      </c>
      <c r="N133" s="192">
        <v>897</v>
      </c>
      <c r="O133" s="192">
        <v>908</v>
      </c>
      <c r="P133" s="192">
        <v>921</v>
      </c>
      <c r="Q133" s="192">
        <v>968</v>
      </c>
    </row>
    <row r="134" spans="1:17" ht="17.25" thickBot="1" x14ac:dyDescent="0.35">
      <c r="A134" s="203">
        <v>13001</v>
      </c>
      <c r="B134" s="20" t="s">
        <v>328</v>
      </c>
      <c r="C134" s="202" t="s">
        <v>328</v>
      </c>
      <c r="D134" s="193">
        <v>1296.3699999999999</v>
      </c>
      <c r="E134" s="193">
        <v>1322.44</v>
      </c>
      <c r="F134" s="193">
        <v>1288.73</v>
      </c>
      <c r="G134" s="193">
        <v>1249.23</v>
      </c>
      <c r="H134" s="193">
        <v>1269.47</v>
      </c>
      <c r="I134" s="193">
        <v>1261.77</v>
      </c>
      <c r="J134" s="192">
        <v>1235.71</v>
      </c>
      <c r="K134" s="192">
        <v>1205.42</v>
      </c>
      <c r="L134" s="192">
        <v>1214.1600000000001</v>
      </c>
      <c r="M134" s="192">
        <f>1227.88+1</f>
        <v>1228.8800000000001</v>
      </c>
      <c r="N134" s="192">
        <v>1204.1199999999999</v>
      </c>
      <c r="O134" s="192">
        <v>1202.3399999999999</v>
      </c>
      <c r="P134" s="192">
        <v>1219.79</v>
      </c>
      <c r="Q134" s="192">
        <v>1259.26</v>
      </c>
    </row>
    <row r="135" spans="1:17" ht="17.25" thickBot="1" x14ac:dyDescent="0.35">
      <c r="A135" s="203">
        <v>60006</v>
      </c>
      <c r="B135" s="20" t="s">
        <v>329</v>
      </c>
      <c r="C135" s="202" t="s">
        <v>329</v>
      </c>
      <c r="D135" s="193"/>
      <c r="E135" s="193"/>
      <c r="F135" s="193"/>
      <c r="G135" s="193"/>
      <c r="H135" s="193"/>
      <c r="I135" s="193"/>
      <c r="J135" s="192"/>
      <c r="K135" s="192">
        <v>357</v>
      </c>
      <c r="L135" s="192">
        <v>349</v>
      </c>
      <c r="M135" s="192">
        <v>348.4</v>
      </c>
      <c r="N135" s="192">
        <v>331</v>
      </c>
      <c r="O135" s="192">
        <v>354</v>
      </c>
      <c r="P135" s="192">
        <v>344</v>
      </c>
      <c r="Q135" s="192">
        <v>346</v>
      </c>
    </row>
    <row r="136" spans="1:17" ht="17.25" thickBot="1" x14ac:dyDescent="0.35">
      <c r="A136" s="203">
        <v>11004</v>
      </c>
      <c r="B136" s="20" t="s">
        <v>330</v>
      </c>
      <c r="C136" s="202" t="s">
        <v>369</v>
      </c>
      <c r="D136" s="193">
        <v>765.92</v>
      </c>
      <c r="E136" s="193">
        <v>780.5</v>
      </c>
      <c r="F136" s="193">
        <v>747</v>
      </c>
      <c r="G136" s="193">
        <v>741.9</v>
      </c>
      <c r="H136" s="193">
        <v>779.95</v>
      </c>
      <c r="I136" s="193">
        <v>776.51</v>
      </c>
      <c r="J136" s="192">
        <v>761.51</v>
      </c>
      <c r="K136" s="192">
        <v>771.02</v>
      </c>
      <c r="L136" s="192">
        <v>769</v>
      </c>
      <c r="M136" s="192">
        <v>812.4</v>
      </c>
      <c r="N136" s="192">
        <v>831</v>
      </c>
      <c r="O136" s="192">
        <v>852.25</v>
      </c>
      <c r="P136" s="192">
        <v>848.99</v>
      </c>
      <c r="Q136" s="192">
        <v>839</v>
      </c>
    </row>
    <row r="137" spans="1:17" ht="17.25" thickBot="1" x14ac:dyDescent="0.35">
      <c r="A137" s="203">
        <v>51005</v>
      </c>
      <c r="B137" s="20" t="s">
        <v>331</v>
      </c>
      <c r="C137" s="202" t="s">
        <v>331</v>
      </c>
      <c r="D137" s="193">
        <v>256</v>
      </c>
      <c r="E137" s="193">
        <v>259</v>
      </c>
      <c r="F137" s="193">
        <v>253</v>
      </c>
      <c r="G137" s="193">
        <v>235.5</v>
      </c>
      <c r="H137" s="193">
        <v>235</v>
      </c>
      <c r="I137" s="193">
        <v>254</v>
      </c>
      <c r="J137" s="192">
        <v>239</v>
      </c>
      <c r="K137" s="192">
        <v>244</v>
      </c>
      <c r="L137" s="192">
        <v>254</v>
      </c>
      <c r="M137" s="192">
        <v>259</v>
      </c>
      <c r="N137" s="192">
        <v>255</v>
      </c>
      <c r="O137" s="192">
        <v>245</v>
      </c>
      <c r="P137" s="192">
        <v>257</v>
      </c>
      <c r="Q137" s="192">
        <v>271</v>
      </c>
    </row>
    <row r="138" spans="1:17" ht="17.25" thickBot="1" x14ac:dyDescent="0.35">
      <c r="A138" s="203">
        <v>6005</v>
      </c>
      <c r="B138" s="20" t="s">
        <v>332</v>
      </c>
      <c r="C138" s="202" t="s">
        <v>332</v>
      </c>
      <c r="D138" s="193">
        <v>308</v>
      </c>
      <c r="E138" s="193">
        <v>300.88</v>
      </c>
      <c r="F138" s="193">
        <v>300</v>
      </c>
      <c r="G138" s="193">
        <v>295</v>
      </c>
      <c r="H138" s="193">
        <v>299</v>
      </c>
      <c r="I138" s="193">
        <v>304</v>
      </c>
      <c r="J138" s="192">
        <v>327</v>
      </c>
      <c r="K138" s="192">
        <v>327</v>
      </c>
      <c r="L138" s="192">
        <v>317.43</v>
      </c>
      <c r="M138" s="192">
        <v>307</v>
      </c>
      <c r="N138" s="192">
        <v>308</v>
      </c>
      <c r="O138" s="192">
        <v>319</v>
      </c>
      <c r="P138" s="192">
        <v>313</v>
      </c>
      <c r="Q138" s="192">
        <v>310</v>
      </c>
    </row>
    <row r="139" spans="1:17" ht="17.25" thickBot="1" x14ac:dyDescent="0.35">
      <c r="A139" s="203">
        <v>14004</v>
      </c>
      <c r="B139" s="20" t="s">
        <v>333</v>
      </c>
      <c r="C139" s="202" t="s">
        <v>333</v>
      </c>
      <c r="D139" s="193">
        <v>3855.98</v>
      </c>
      <c r="E139" s="193">
        <v>3750.15</v>
      </c>
      <c r="F139" s="193">
        <v>3738.5</v>
      </c>
      <c r="G139" s="193">
        <v>3802.19</v>
      </c>
      <c r="H139" s="193">
        <v>3744.32</v>
      </c>
      <c r="I139" s="193">
        <v>3762.26</v>
      </c>
      <c r="J139" s="192">
        <v>3805.29</v>
      </c>
      <c r="K139" s="192">
        <v>3863.45</v>
      </c>
      <c r="L139" s="192">
        <v>3857.12</v>
      </c>
      <c r="M139" s="192">
        <v>3913.23</v>
      </c>
      <c r="N139" s="192">
        <f>3968.17-1</f>
        <v>3967.17</v>
      </c>
      <c r="O139" s="192">
        <v>3950.12</v>
      </c>
      <c r="P139" s="192">
        <v>3930.72</v>
      </c>
      <c r="Q139" s="192">
        <v>3927.97</v>
      </c>
    </row>
    <row r="140" spans="1:17" ht="17.25" thickBot="1" x14ac:dyDescent="0.35">
      <c r="A140" s="203">
        <v>18003</v>
      </c>
      <c r="B140" s="20" t="s">
        <v>334</v>
      </c>
      <c r="C140" s="202" t="s">
        <v>334</v>
      </c>
      <c r="D140" s="193">
        <v>183.5</v>
      </c>
      <c r="E140" s="193">
        <v>180</v>
      </c>
      <c r="F140" s="193">
        <v>191</v>
      </c>
      <c r="G140" s="193">
        <v>173</v>
      </c>
      <c r="H140" s="193">
        <v>175</v>
      </c>
      <c r="I140" s="193">
        <v>170</v>
      </c>
      <c r="J140" s="192">
        <v>168</v>
      </c>
      <c r="K140" s="192">
        <v>159</v>
      </c>
      <c r="L140" s="192">
        <v>160</v>
      </c>
      <c r="M140" s="192">
        <v>156</v>
      </c>
      <c r="N140" s="192">
        <v>173</v>
      </c>
      <c r="O140" s="192">
        <v>169</v>
      </c>
      <c r="P140" s="192">
        <v>169</v>
      </c>
      <c r="Q140" s="192">
        <v>170</v>
      </c>
    </row>
    <row r="141" spans="1:17" ht="17.25" thickBot="1" x14ac:dyDescent="0.35">
      <c r="A141" s="203">
        <v>14005</v>
      </c>
      <c r="B141" s="20" t="s">
        <v>335</v>
      </c>
      <c r="C141" s="202" t="s">
        <v>335</v>
      </c>
      <c r="D141" s="193">
        <v>149</v>
      </c>
      <c r="E141" s="193">
        <v>148</v>
      </c>
      <c r="F141" s="193">
        <v>142</v>
      </c>
      <c r="G141" s="193">
        <v>230</v>
      </c>
      <c r="H141" s="193">
        <v>231</v>
      </c>
      <c r="I141" s="193">
        <v>197</v>
      </c>
      <c r="J141" s="192">
        <v>197</v>
      </c>
      <c r="K141" s="192">
        <v>191</v>
      </c>
      <c r="L141" s="192">
        <v>215</v>
      </c>
      <c r="M141" s="192">
        <v>212</v>
      </c>
      <c r="N141" s="192">
        <v>238</v>
      </c>
      <c r="O141" s="192">
        <v>247</v>
      </c>
      <c r="P141" s="192">
        <v>246</v>
      </c>
      <c r="Q141" s="192">
        <v>235</v>
      </c>
    </row>
    <row r="142" spans="1:17" ht="17.25" thickBot="1" x14ac:dyDescent="0.35">
      <c r="A142" s="203">
        <v>18005</v>
      </c>
      <c r="B142" s="20" t="s">
        <v>336</v>
      </c>
      <c r="C142" s="202" t="s">
        <v>336</v>
      </c>
      <c r="D142" s="193"/>
      <c r="E142" s="193"/>
      <c r="F142" s="193"/>
      <c r="G142" s="193"/>
      <c r="H142" s="193"/>
      <c r="I142" s="193">
        <v>543</v>
      </c>
      <c r="J142" s="192">
        <v>524</v>
      </c>
      <c r="K142" s="192">
        <v>540</v>
      </c>
      <c r="L142" s="192">
        <v>535</v>
      </c>
      <c r="M142" s="192">
        <v>508</v>
      </c>
      <c r="N142" s="192">
        <v>513</v>
      </c>
      <c r="O142" s="192">
        <v>558</v>
      </c>
      <c r="P142" s="192">
        <v>537</v>
      </c>
      <c r="Q142" s="192">
        <v>542</v>
      </c>
    </row>
    <row r="143" spans="1:17" ht="17.25" thickBot="1" x14ac:dyDescent="0.35">
      <c r="A143" s="203">
        <v>36002</v>
      </c>
      <c r="B143" s="20" t="s">
        <v>337</v>
      </c>
      <c r="C143" s="202" t="s">
        <v>337</v>
      </c>
      <c r="D143" s="193">
        <v>297</v>
      </c>
      <c r="E143" s="193">
        <v>296</v>
      </c>
      <c r="F143" s="193">
        <v>272.2</v>
      </c>
      <c r="G143" s="193">
        <v>287</v>
      </c>
      <c r="H143" s="193">
        <v>297</v>
      </c>
      <c r="I143" s="193">
        <v>291</v>
      </c>
      <c r="J143" s="192">
        <v>274</v>
      </c>
      <c r="K143" s="192">
        <v>281</v>
      </c>
      <c r="L143" s="192">
        <v>281</v>
      </c>
      <c r="M143" s="192">
        <v>319</v>
      </c>
      <c r="N143" s="192">
        <v>339</v>
      </c>
      <c r="O143" s="192">
        <v>328</v>
      </c>
      <c r="P143" s="192">
        <v>332</v>
      </c>
      <c r="Q143" s="192">
        <v>312.18</v>
      </c>
    </row>
    <row r="144" spans="1:17" ht="17.25" thickBot="1" x14ac:dyDescent="0.35">
      <c r="A144" s="203">
        <v>49007</v>
      </c>
      <c r="B144" s="20" t="s">
        <v>338</v>
      </c>
      <c r="C144" s="202" t="s">
        <v>338</v>
      </c>
      <c r="D144" s="193">
        <v>1150.33</v>
      </c>
      <c r="E144" s="193">
        <v>1147.1300000000001</v>
      </c>
      <c r="F144" s="193">
        <v>1183.6300000000001</v>
      </c>
      <c r="G144" s="193">
        <v>1190.98</v>
      </c>
      <c r="H144" s="193">
        <v>1295.01</v>
      </c>
      <c r="I144" s="193">
        <v>1325.6</v>
      </c>
      <c r="J144" s="192">
        <v>1305.42</v>
      </c>
      <c r="K144" s="192">
        <v>1302.32</v>
      </c>
      <c r="L144" s="192">
        <v>1372.72</v>
      </c>
      <c r="M144" s="192">
        <v>1340.93</v>
      </c>
      <c r="N144" s="192">
        <v>1375.93</v>
      </c>
      <c r="O144" s="192">
        <v>1372.56</v>
      </c>
      <c r="P144" s="192">
        <v>1364.2</v>
      </c>
      <c r="Q144" s="192">
        <v>1410.25</v>
      </c>
    </row>
    <row r="145" spans="1:17" ht="17.25" thickBot="1" x14ac:dyDescent="0.35">
      <c r="A145" s="203">
        <v>1003</v>
      </c>
      <c r="B145" s="20" t="s">
        <v>339</v>
      </c>
      <c r="C145" s="202" t="s">
        <v>339</v>
      </c>
      <c r="D145" s="193">
        <v>164</v>
      </c>
      <c r="E145" s="193">
        <v>153</v>
      </c>
      <c r="F145" s="193">
        <v>155</v>
      </c>
      <c r="G145" s="193">
        <v>136</v>
      </c>
      <c r="H145" s="193">
        <v>131</v>
      </c>
      <c r="I145" s="193">
        <v>124</v>
      </c>
      <c r="J145" s="192">
        <v>123</v>
      </c>
      <c r="K145" s="192">
        <v>114</v>
      </c>
      <c r="L145" s="192">
        <v>114</v>
      </c>
      <c r="M145" s="192">
        <v>116</v>
      </c>
      <c r="N145" s="192">
        <v>110</v>
      </c>
      <c r="O145" s="192">
        <v>110</v>
      </c>
      <c r="P145" s="192">
        <v>116</v>
      </c>
      <c r="Q145" s="192">
        <v>119</v>
      </c>
    </row>
    <row r="146" spans="1:17" ht="17.25" thickBot="1" x14ac:dyDescent="0.35">
      <c r="A146" s="203">
        <v>47001</v>
      </c>
      <c r="B146" s="20" t="s">
        <v>340</v>
      </c>
      <c r="C146" s="202" t="s">
        <v>340</v>
      </c>
      <c r="D146" s="193">
        <v>379.96</v>
      </c>
      <c r="E146" s="193">
        <v>355.89</v>
      </c>
      <c r="F146" s="193">
        <v>347</v>
      </c>
      <c r="G146" s="193">
        <v>347</v>
      </c>
      <c r="H146" s="193">
        <v>389</v>
      </c>
      <c r="I146" s="193">
        <v>370</v>
      </c>
      <c r="J146" s="192">
        <v>403</v>
      </c>
      <c r="K146" s="192">
        <v>425</v>
      </c>
      <c r="L146" s="192">
        <v>408.49</v>
      </c>
      <c r="M146" s="192">
        <v>397</v>
      </c>
      <c r="N146" s="192">
        <v>400</v>
      </c>
      <c r="O146" s="192">
        <v>418</v>
      </c>
      <c r="P146" s="192">
        <v>404</v>
      </c>
      <c r="Q146" s="192">
        <v>412</v>
      </c>
    </row>
    <row r="147" spans="1:17" ht="17.25" thickBot="1" x14ac:dyDescent="0.35">
      <c r="A147" s="203">
        <v>12003</v>
      </c>
      <c r="B147" s="20" t="s">
        <v>341</v>
      </c>
      <c r="C147" s="202" t="s">
        <v>341</v>
      </c>
      <c r="D147" s="193">
        <v>198.3</v>
      </c>
      <c r="E147" s="193">
        <v>199</v>
      </c>
      <c r="F147" s="193">
        <v>205.6</v>
      </c>
      <c r="G147" s="193">
        <v>194</v>
      </c>
      <c r="H147" s="193">
        <v>188.3</v>
      </c>
      <c r="I147" s="193">
        <v>202</v>
      </c>
      <c r="J147" s="192">
        <v>185</v>
      </c>
      <c r="K147" s="192">
        <v>224</v>
      </c>
      <c r="L147" s="192">
        <v>227</v>
      </c>
      <c r="M147" s="192">
        <v>208</v>
      </c>
      <c r="N147" s="192">
        <v>214</v>
      </c>
      <c r="O147" s="192">
        <v>222</v>
      </c>
      <c r="P147" s="192">
        <v>237</v>
      </c>
      <c r="Q147" s="192">
        <v>249</v>
      </c>
    </row>
    <row r="148" spans="1:17" ht="17.25" thickBot="1" x14ac:dyDescent="0.35">
      <c r="A148" s="203">
        <v>54007</v>
      </c>
      <c r="B148" s="20" t="s">
        <v>342</v>
      </c>
      <c r="C148" s="202" t="s">
        <v>342</v>
      </c>
      <c r="D148" s="193">
        <v>254</v>
      </c>
      <c r="E148" s="193">
        <v>252</v>
      </c>
      <c r="F148" s="193">
        <v>246</v>
      </c>
      <c r="G148" s="193">
        <v>241</v>
      </c>
      <c r="H148" s="193">
        <v>244</v>
      </c>
      <c r="I148" s="193">
        <v>239</v>
      </c>
      <c r="J148" s="192">
        <v>222</v>
      </c>
      <c r="K148" s="192">
        <v>213</v>
      </c>
      <c r="L148" s="192">
        <v>207</v>
      </c>
      <c r="M148" s="192">
        <v>211</v>
      </c>
      <c r="N148" s="192">
        <v>197</v>
      </c>
      <c r="O148" s="192">
        <v>200</v>
      </c>
      <c r="P148" s="192">
        <v>222</v>
      </c>
      <c r="Q148" s="192">
        <v>223</v>
      </c>
    </row>
    <row r="149" spans="1:17" ht="17.25" thickBot="1" x14ac:dyDescent="0.35">
      <c r="A149" s="203">
        <v>59002</v>
      </c>
      <c r="B149" s="20" t="s">
        <v>343</v>
      </c>
      <c r="C149" s="202" t="s">
        <v>343</v>
      </c>
      <c r="D149" s="193">
        <v>853</v>
      </c>
      <c r="E149" s="193">
        <v>787</v>
      </c>
      <c r="F149" s="193">
        <v>791</v>
      </c>
      <c r="G149" s="193">
        <v>735</v>
      </c>
      <c r="H149" s="193">
        <v>695</v>
      </c>
      <c r="I149" s="193">
        <v>682</v>
      </c>
      <c r="J149" s="192">
        <v>674.5</v>
      </c>
      <c r="K149" s="192">
        <v>682</v>
      </c>
      <c r="L149" s="192">
        <v>676</v>
      </c>
      <c r="M149" s="192">
        <v>684</v>
      </c>
      <c r="N149" s="192">
        <v>721</v>
      </c>
      <c r="O149" s="192">
        <v>708</v>
      </c>
      <c r="P149" s="192">
        <v>723</v>
      </c>
      <c r="Q149" s="192">
        <v>710</v>
      </c>
    </row>
    <row r="150" spans="1:17" ht="17.25" thickBot="1" x14ac:dyDescent="0.35">
      <c r="A150" s="203">
        <v>2006</v>
      </c>
      <c r="B150" s="20" t="s">
        <v>344</v>
      </c>
      <c r="C150" s="202" t="s">
        <v>344</v>
      </c>
      <c r="D150" s="193">
        <v>225</v>
      </c>
      <c r="E150" s="193">
        <v>217.25</v>
      </c>
      <c r="F150" s="193">
        <v>211</v>
      </c>
      <c r="G150" s="193">
        <v>248</v>
      </c>
      <c r="H150" s="193">
        <v>267</v>
      </c>
      <c r="I150" s="193">
        <v>285</v>
      </c>
      <c r="J150" s="192">
        <v>302</v>
      </c>
      <c r="K150" s="192">
        <v>303</v>
      </c>
      <c r="L150" s="192">
        <v>330</v>
      </c>
      <c r="M150" s="192">
        <v>350</v>
      </c>
      <c r="N150" s="192">
        <v>349</v>
      </c>
      <c r="O150" s="192">
        <v>357</v>
      </c>
      <c r="P150" s="192">
        <v>362</v>
      </c>
      <c r="Q150" s="192">
        <v>346</v>
      </c>
    </row>
    <row r="151" spans="1:17" ht="17.25" thickBot="1" x14ac:dyDescent="0.35">
      <c r="A151" s="203">
        <v>55004</v>
      </c>
      <c r="B151" s="20" t="s">
        <v>345</v>
      </c>
      <c r="C151" s="202" t="s">
        <v>345</v>
      </c>
      <c r="D151" s="193">
        <v>170</v>
      </c>
      <c r="E151" s="193">
        <v>175</v>
      </c>
      <c r="F151" s="193">
        <v>174</v>
      </c>
      <c r="G151" s="193">
        <v>180</v>
      </c>
      <c r="H151" s="193">
        <v>180</v>
      </c>
      <c r="I151" s="193">
        <v>175</v>
      </c>
      <c r="J151" s="192">
        <v>183</v>
      </c>
      <c r="K151" s="192">
        <v>186.13</v>
      </c>
      <c r="L151" s="192">
        <v>222</v>
      </c>
      <c r="M151" s="192">
        <v>212</v>
      </c>
      <c r="N151" s="192">
        <v>204</v>
      </c>
      <c r="O151" s="192">
        <v>218</v>
      </c>
      <c r="P151" s="192">
        <v>233</v>
      </c>
      <c r="Q151" s="192">
        <v>248</v>
      </c>
    </row>
    <row r="152" spans="1:17" ht="17.25" thickBot="1" x14ac:dyDescent="0.35">
      <c r="A152" s="203">
        <v>63003</v>
      </c>
      <c r="B152" s="20" t="s">
        <v>346</v>
      </c>
      <c r="C152" s="202" t="s">
        <v>346</v>
      </c>
      <c r="D152" s="193">
        <v>3003.38</v>
      </c>
      <c r="E152" s="193">
        <v>2960.36</v>
      </c>
      <c r="F152" s="193">
        <v>2926.02</v>
      </c>
      <c r="G152" s="193">
        <v>2824.87</v>
      </c>
      <c r="H152" s="193">
        <v>2792.43</v>
      </c>
      <c r="I152" s="193">
        <v>2750.05</v>
      </c>
      <c r="J152" s="192">
        <v>2666.06</v>
      </c>
      <c r="K152" s="192">
        <v>2690.56</v>
      </c>
      <c r="L152" s="192">
        <v>2682.41</v>
      </c>
      <c r="M152" s="192">
        <v>2685.36</v>
      </c>
      <c r="N152" s="192">
        <v>2709.67</v>
      </c>
      <c r="O152" s="192">
        <v>2717.19</v>
      </c>
      <c r="P152" s="192">
        <v>2723.12</v>
      </c>
      <c r="Q152" s="192">
        <v>2775.69</v>
      </c>
    </row>
    <row r="153" spans="1:17" ht="8.25" customHeight="1" thickBot="1" x14ac:dyDescent="0.35">
      <c r="A153" s="201"/>
      <c r="B153" s="213"/>
      <c r="C153" s="200"/>
      <c r="D153" s="198"/>
      <c r="E153" s="198"/>
      <c r="F153" s="198"/>
      <c r="G153" s="198"/>
      <c r="H153" s="198"/>
      <c r="I153" s="199"/>
      <c r="J153" s="198"/>
      <c r="K153" s="198"/>
      <c r="L153" s="198"/>
      <c r="M153" s="198"/>
      <c r="N153" s="198"/>
      <c r="O153" s="198"/>
      <c r="P153" s="198"/>
      <c r="Q153" s="198"/>
    </row>
    <row r="154" spans="1:17" ht="17.25" hidden="1" thickBot="1" x14ac:dyDescent="0.35">
      <c r="A154" s="195">
        <v>10002</v>
      </c>
      <c r="B154" s="214"/>
      <c r="C154" s="194" t="s">
        <v>466</v>
      </c>
      <c r="D154" s="192">
        <v>78</v>
      </c>
      <c r="E154" s="192">
        <v>71</v>
      </c>
      <c r="F154" s="192">
        <v>54</v>
      </c>
      <c r="G154" s="192" t="s">
        <v>187</v>
      </c>
      <c r="H154" s="192" t="s">
        <v>187</v>
      </c>
      <c r="I154" s="193"/>
      <c r="J154" s="192"/>
      <c r="K154" s="192"/>
      <c r="L154" s="192"/>
      <c r="M154" s="192"/>
      <c r="N154" s="192"/>
      <c r="O154" s="192"/>
      <c r="P154" s="192"/>
      <c r="Q154" s="192"/>
    </row>
    <row r="155" spans="1:17" ht="17.25" hidden="1" thickBot="1" x14ac:dyDescent="0.35">
      <c r="A155" s="195">
        <v>11002</v>
      </c>
      <c r="B155" s="214"/>
      <c r="C155" s="194" t="s">
        <v>465</v>
      </c>
      <c r="D155" s="192">
        <v>87</v>
      </c>
      <c r="E155" s="192">
        <v>75</v>
      </c>
      <c r="F155" s="192"/>
      <c r="G155" s="192" t="s">
        <v>187</v>
      </c>
      <c r="H155" s="192"/>
      <c r="I155" s="193"/>
      <c r="J155" s="192"/>
      <c r="K155" s="192"/>
      <c r="L155" s="192"/>
      <c r="M155" s="192"/>
      <c r="N155" s="192"/>
      <c r="O155" s="192"/>
      <c r="P155" s="192"/>
      <c r="Q155" s="192"/>
    </row>
    <row r="156" spans="1:17" ht="17.25" hidden="1" thickBot="1" x14ac:dyDescent="0.35">
      <c r="A156" s="195">
        <v>11003</v>
      </c>
      <c r="B156" s="214"/>
      <c r="C156" s="194" t="s">
        <v>464</v>
      </c>
      <c r="D156" s="192">
        <v>428.35</v>
      </c>
      <c r="E156" s="192">
        <v>428.05</v>
      </c>
      <c r="F156" s="192"/>
      <c r="G156" s="192" t="s">
        <v>187</v>
      </c>
      <c r="H156" s="192"/>
      <c r="I156" s="193"/>
      <c r="J156" s="192"/>
      <c r="K156" s="192"/>
      <c r="L156" s="192"/>
      <c r="M156" s="192"/>
      <c r="N156" s="192"/>
      <c r="O156" s="192"/>
      <c r="P156" s="192"/>
      <c r="Q156" s="192"/>
    </row>
    <row r="157" spans="1:17" ht="17.25" hidden="1" thickBot="1" x14ac:dyDescent="0.35">
      <c r="A157" s="195">
        <v>13002</v>
      </c>
      <c r="B157" s="214"/>
      <c r="C157" s="194" t="s">
        <v>463</v>
      </c>
      <c r="D157" s="192">
        <v>146</v>
      </c>
      <c r="E157" s="192">
        <v>135</v>
      </c>
      <c r="F157" s="192"/>
      <c r="G157" s="192" t="s">
        <v>187</v>
      </c>
      <c r="H157" s="192"/>
      <c r="I157" s="193"/>
      <c r="J157" s="192"/>
      <c r="K157" s="192"/>
      <c r="L157" s="192"/>
      <c r="M157" s="192"/>
      <c r="N157" s="192"/>
      <c r="O157" s="192"/>
      <c r="P157" s="192"/>
      <c r="Q157" s="192"/>
    </row>
    <row r="158" spans="1:17" ht="17.25" hidden="1" thickBot="1" x14ac:dyDescent="0.35">
      <c r="A158" s="195">
        <v>14003</v>
      </c>
      <c r="B158" s="214"/>
      <c r="C158" s="194" t="s">
        <v>462</v>
      </c>
      <c r="D158" s="192">
        <v>110</v>
      </c>
      <c r="E158" s="192">
        <v>100</v>
      </c>
      <c r="F158" s="192">
        <v>87</v>
      </c>
      <c r="G158" s="192" t="s">
        <v>187</v>
      </c>
      <c r="H158" s="192"/>
      <c r="I158" s="193"/>
      <c r="J158" s="192"/>
      <c r="K158" s="192"/>
      <c r="L158" s="192"/>
      <c r="M158" s="192"/>
      <c r="N158" s="192"/>
      <c r="O158" s="192"/>
      <c r="P158" s="192"/>
      <c r="Q158" s="192"/>
    </row>
    <row r="159" spans="1:17" ht="17.25" hidden="1" thickBot="1" x14ac:dyDescent="0.35">
      <c r="A159" s="195">
        <v>18002</v>
      </c>
      <c r="B159" s="214"/>
      <c r="C159" s="194" t="s">
        <v>461</v>
      </c>
      <c r="D159" s="192">
        <v>134</v>
      </c>
      <c r="E159" s="192">
        <v>130.5</v>
      </c>
      <c r="F159" s="192">
        <v>127</v>
      </c>
      <c r="G159" s="192">
        <v>117</v>
      </c>
      <c r="H159" s="192">
        <v>67</v>
      </c>
      <c r="I159" s="193"/>
      <c r="J159" s="192"/>
      <c r="K159" s="192"/>
      <c r="L159" s="192"/>
      <c r="M159" s="192"/>
      <c r="N159" s="192"/>
      <c r="O159" s="192"/>
      <c r="P159" s="192"/>
      <c r="Q159" s="192"/>
    </row>
    <row r="160" spans="1:17" ht="17.25" hidden="1" thickBot="1" x14ac:dyDescent="0.35">
      <c r="A160" s="195">
        <v>18004</v>
      </c>
      <c r="B160" s="214"/>
      <c r="C160" s="194" t="s">
        <v>460</v>
      </c>
      <c r="D160" s="192">
        <v>498</v>
      </c>
      <c r="E160" s="192">
        <v>476</v>
      </c>
      <c r="F160" s="192">
        <v>461</v>
      </c>
      <c r="G160" s="192">
        <v>468</v>
      </c>
      <c r="H160" s="192">
        <v>487</v>
      </c>
      <c r="I160" s="193"/>
      <c r="J160" s="192"/>
      <c r="K160" s="192"/>
      <c r="L160" s="192"/>
      <c r="M160" s="192"/>
      <c r="N160" s="192"/>
      <c r="O160" s="192"/>
      <c r="P160" s="192"/>
      <c r="Q160" s="192"/>
    </row>
    <row r="161" spans="1:17" ht="17.25" hidden="1" thickBot="1" x14ac:dyDescent="0.35">
      <c r="A161" s="195">
        <v>20002</v>
      </c>
      <c r="B161" s="214"/>
      <c r="C161" s="194" t="s">
        <v>459</v>
      </c>
      <c r="D161" s="192">
        <v>86</v>
      </c>
      <c r="E161" s="192">
        <v>79.5</v>
      </c>
      <c r="F161" s="192">
        <v>75</v>
      </c>
      <c r="G161" s="192">
        <v>61</v>
      </c>
      <c r="H161" s="192"/>
      <c r="I161" s="193"/>
      <c r="J161" s="192"/>
      <c r="K161" s="192"/>
      <c r="L161" s="192"/>
      <c r="M161" s="192"/>
      <c r="N161" s="192"/>
      <c r="O161" s="192"/>
      <c r="P161" s="192"/>
      <c r="Q161" s="192"/>
    </row>
    <row r="162" spans="1:17" ht="17.25" hidden="1" thickBot="1" x14ac:dyDescent="0.35">
      <c r="A162" s="195">
        <v>24003</v>
      </c>
      <c r="B162" s="214"/>
      <c r="C162" s="194" t="s">
        <v>458</v>
      </c>
      <c r="D162" s="192">
        <v>342</v>
      </c>
      <c r="E162" s="192">
        <v>331</v>
      </c>
      <c r="F162" s="192">
        <v>333</v>
      </c>
      <c r="G162" s="192" t="s">
        <v>187</v>
      </c>
      <c r="H162" s="192"/>
      <c r="I162" s="193"/>
      <c r="J162" s="192"/>
      <c r="K162" s="192"/>
      <c r="L162" s="192"/>
      <c r="M162" s="192"/>
      <c r="N162" s="192"/>
      <c r="O162" s="192"/>
      <c r="P162" s="192"/>
      <c r="Q162" s="192"/>
    </row>
    <row r="163" spans="1:17" ht="17.25" hidden="1" thickBot="1" x14ac:dyDescent="0.35">
      <c r="A163" s="195">
        <v>25003</v>
      </c>
      <c r="B163" s="214"/>
      <c r="C163" s="194" t="s">
        <v>348</v>
      </c>
      <c r="D163" s="193">
        <v>187</v>
      </c>
      <c r="E163" s="193">
        <v>166.5</v>
      </c>
      <c r="F163" s="193">
        <v>154.5</v>
      </c>
      <c r="G163" s="193">
        <v>133.25</v>
      </c>
      <c r="H163" s="193">
        <v>142</v>
      </c>
      <c r="I163" s="193">
        <v>140</v>
      </c>
      <c r="J163" s="192">
        <v>130.4</v>
      </c>
      <c r="K163" s="192">
        <v>126</v>
      </c>
      <c r="L163" s="192">
        <v>108</v>
      </c>
      <c r="M163" s="192">
        <v>83</v>
      </c>
      <c r="N163" s="192">
        <v>69</v>
      </c>
      <c r="O163" s="192">
        <v>61</v>
      </c>
      <c r="P163" s="192"/>
      <c r="Q163" s="192"/>
    </row>
    <row r="164" spans="1:17" ht="17.25" hidden="1" thickBot="1" x14ac:dyDescent="0.35">
      <c r="A164" s="195">
        <v>27002</v>
      </c>
      <c r="B164" s="214"/>
      <c r="C164" s="194" t="s">
        <v>457</v>
      </c>
      <c r="D164" s="192">
        <v>56</v>
      </c>
      <c r="E164" s="192">
        <v>39</v>
      </c>
      <c r="F164" s="192"/>
      <c r="G164" s="192" t="s">
        <v>187</v>
      </c>
      <c r="H164" s="192"/>
      <c r="I164" s="193"/>
      <c r="J164" s="192"/>
      <c r="K164" s="192"/>
      <c r="L164" s="192"/>
      <c r="M164" s="192"/>
      <c r="N164" s="192"/>
      <c r="O164" s="192"/>
      <c r="P164" s="192"/>
      <c r="Q164" s="192"/>
    </row>
    <row r="165" spans="1:17" ht="17.25" hidden="1" thickBot="1" x14ac:dyDescent="0.35">
      <c r="A165" s="195">
        <v>29002</v>
      </c>
      <c r="B165" s="214"/>
      <c r="C165" s="194" t="s">
        <v>456</v>
      </c>
      <c r="D165" s="192">
        <v>19</v>
      </c>
      <c r="E165" s="192">
        <v>22</v>
      </c>
      <c r="F165" s="192">
        <v>10</v>
      </c>
      <c r="G165" s="192" t="s">
        <v>187</v>
      </c>
      <c r="H165" s="192"/>
      <c r="I165" s="193"/>
      <c r="J165" s="192"/>
      <c r="K165" s="192"/>
      <c r="L165" s="192"/>
      <c r="M165" s="192"/>
      <c r="N165" s="192"/>
      <c r="O165" s="192"/>
      <c r="P165" s="192"/>
      <c r="Q165" s="192"/>
    </row>
    <row r="166" spans="1:17" ht="17.25" hidden="1" thickBot="1" x14ac:dyDescent="0.35">
      <c r="A166" s="195">
        <v>29003</v>
      </c>
      <c r="B166" s="214"/>
      <c r="C166" s="194" t="s">
        <v>455</v>
      </c>
      <c r="D166" s="192">
        <v>512</v>
      </c>
      <c r="E166" s="192">
        <v>498.04</v>
      </c>
      <c r="F166" s="192">
        <v>496.03</v>
      </c>
      <c r="G166" s="192" t="s">
        <v>187</v>
      </c>
      <c r="H166" s="192"/>
      <c r="I166" s="193"/>
      <c r="J166" s="192"/>
      <c r="K166" s="192"/>
      <c r="L166" s="192"/>
      <c r="M166" s="192"/>
      <c r="N166" s="192"/>
      <c r="O166" s="192"/>
      <c r="P166" s="192"/>
      <c r="Q166" s="192"/>
    </row>
    <row r="167" spans="1:17" ht="17.25" hidden="1" thickBot="1" x14ac:dyDescent="0.35">
      <c r="A167" s="195">
        <v>30002</v>
      </c>
      <c r="B167" s="214"/>
      <c r="C167" s="194" t="s">
        <v>454</v>
      </c>
      <c r="D167" s="192">
        <v>179</v>
      </c>
      <c r="E167" s="192">
        <v>190</v>
      </c>
      <c r="F167" s="192">
        <v>185</v>
      </c>
      <c r="G167" s="192">
        <v>181</v>
      </c>
      <c r="H167" s="192">
        <v>180.13</v>
      </c>
      <c r="I167" s="193"/>
      <c r="J167" s="192"/>
      <c r="K167" s="192"/>
      <c r="L167" s="192"/>
      <c r="M167" s="192"/>
      <c r="N167" s="192"/>
      <c r="O167" s="192"/>
      <c r="P167" s="192"/>
      <c r="Q167" s="192"/>
    </row>
    <row r="168" spans="1:17" ht="17.25" hidden="1" thickBot="1" x14ac:dyDescent="0.35">
      <c r="A168" s="197">
        <v>32001</v>
      </c>
      <c r="B168" s="215"/>
      <c r="C168" s="196" t="s">
        <v>453</v>
      </c>
      <c r="D168" s="192">
        <v>71</v>
      </c>
      <c r="E168" s="192">
        <v>66</v>
      </c>
      <c r="F168" s="192">
        <v>49</v>
      </c>
      <c r="G168" s="192" t="s">
        <v>187</v>
      </c>
      <c r="H168" s="192"/>
      <c r="I168" s="193"/>
      <c r="J168" s="192"/>
      <c r="K168" s="192"/>
      <c r="L168" s="192"/>
      <c r="M168" s="192"/>
      <c r="N168" s="192"/>
      <c r="O168" s="192"/>
      <c r="P168" s="192"/>
      <c r="Q168" s="192"/>
    </row>
    <row r="169" spans="1:17" ht="17.25" hidden="1" thickBot="1" x14ac:dyDescent="0.35">
      <c r="A169" s="195">
        <v>34001</v>
      </c>
      <c r="B169" s="214"/>
      <c r="C169" s="194" t="s">
        <v>452</v>
      </c>
      <c r="D169" s="192">
        <v>261</v>
      </c>
      <c r="E169" s="192">
        <v>268</v>
      </c>
      <c r="F169" s="192">
        <v>297</v>
      </c>
      <c r="G169" s="192" t="s">
        <v>187</v>
      </c>
      <c r="H169" s="192"/>
      <c r="I169" s="193"/>
      <c r="J169" s="192"/>
      <c r="K169" s="192"/>
      <c r="L169" s="192"/>
      <c r="M169" s="192"/>
      <c r="N169" s="192"/>
      <c r="O169" s="192"/>
      <c r="P169" s="192"/>
      <c r="Q169" s="192"/>
    </row>
    <row r="170" spans="1:17" ht="17.25" hidden="1" thickBot="1" x14ac:dyDescent="0.35">
      <c r="A170" s="195">
        <v>35001</v>
      </c>
      <c r="B170" s="214"/>
      <c r="C170" s="194" t="s">
        <v>451</v>
      </c>
      <c r="D170" s="192">
        <v>321</v>
      </c>
      <c r="E170" s="192">
        <v>322</v>
      </c>
      <c r="F170" s="192"/>
      <c r="G170" s="192" t="s">
        <v>187</v>
      </c>
      <c r="H170" s="192"/>
      <c r="I170" s="193"/>
      <c r="J170" s="192"/>
      <c r="K170" s="192"/>
      <c r="L170" s="192"/>
      <c r="M170" s="192"/>
      <c r="N170" s="192"/>
      <c r="O170" s="192"/>
      <c r="P170" s="192"/>
      <c r="Q170" s="192"/>
    </row>
    <row r="171" spans="1:17" ht="17.25" hidden="1" thickBot="1" x14ac:dyDescent="0.35">
      <c r="A171" s="195">
        <v>43006</v>
      </c>
      <c r="B171" s="214"/>
      <c r="C171" s="194" t="s">
        <v>450</v>
      </c>
      <c r="D171" s="192">
        <v>180.25</v>
      </c>
      <c r="E171" s="192">
        <v>171</v>
      </c>
      <c r="F171" s="192">
        <v>157</v>
      </c>
      <c r="G171" s="192">
        <v>148</v>
      </c>
      <c r="H171" s="192">
        <v>109</v>
      </c>
      <c r="I171" s="193"/>
      <c r="J171" s="192"/>
      <c r="K171" s="192"/>
      <c r="L171" s="192"/>
      <c r="M171" s="192"/>
      <c r="N171" s="192"/>
      <c r="O171" s="192"/>
      <c r="P171" s="192"/>
      <c r="Q171" s="192"/>
    </row>
    <row r="172" spans="1:17" ht="17.25" hidden="1" thickBot="1" x14ac:dyDescent="0.35">
      <c r="A172" s="195">
        <v>45002</v>
      </c>
      <c r="B172" s="214"/>
      <c r="C172" s="194" t="s">
        <v>449</v>
      </c>
      <c r="D172" s="192">
        <v>218.2</v>
      </c>
      <c r="E172" s="192">
        <v>195.2</v>
      </c>
      <c r="F172" s="192">
        <v>201</v>
      </c>
      <c r="G172" s="192">
        <v>201</v>
      </c>
      <c r="H172" s="192">
        <v>196</v>
      </c>
      <c r="I172" s="193"/>
      <c r="J172" s="192"/>
      <c r="K172" s="192"/>
      <c r="L172" s="192"/>
      <c r="M172" s="192"/>
      <c r="N172" s="192"/>
      <c r="O172" s="192"/>
      <c r="P172" s="192"/>
      <c r="Q172" s="192"/>
    </row>
    <row r="173" spans="1:17" ht="17.25" hidden="1" thickBot="1" x14ac:dyDescent="0.35">
      <c r="A173" s="197">
        <v>47002</v>
      </c>
      <c r="B173" s="215"/>
      <c r="C173" s="196" t="s">
        <v>448</v>
      </c>
      <c r="D173" s="192">
        <v>57</v>
      </c>
      <c r="E173" s="192">
        <v>66</v>
      </c>
      <c r="F173" s="192">
        <v>52</v>
      </c>
      <c r="G173" s="192">
        <v>47</v>
      </c>
      <c r="H173" s="192"/>
      <c r="I173" s="193"/>
      <c r="J173" s="192"/>
      <c r="K173" s="192"/>
      <c r="L173" s="192"/>
      <c r="M173" s="192"/>
      <c r="N173" s="192"/>
      <c r="O173" s="192"/>
      <c r="P173" s="192"/>
      <c r="Q173" s="192"/>
    </row>
    <row r="174" spans="1:17" ht="17.25" hidden="1" thickBot="1" x14ac:dyDescent="0.35">
      <c r="A174" s="195">
        <v>48002</v>
      </c>
      <c r="B174" s="214"/>
      <c r="C174" s="194" t="s">
        <v>447</v>
      </c>
      <c r="D174" s="192">
        <v>18</v>
      </c>
      <c r="E174" s="192">
        <v>15</v>
      </c>
      <c r="F174" s="192">
        <v>12</v>
      </c>
      <c r="G174" s="192">
        <v>11</v>
      </c>
      <c r="H174" s="192"/>
      <c r="I174" s="193"/>
      <c r="J174" s="192"/>
      <c r="K174" s="192"/>
      <c r="L174" s="192"/>
      <c r="M174" s="192"/>
      <c r="N174" s="192"/>
      <c r="O174" s="192"/>
      <c r="P174" s="192"/>
      <c r="Q174" s="192"/>
    </row>
    <row r="175" spans="1:17" ht="17.25" hidden="1" thickBot="1" x14ac:dyDescent="0.35">
      <c r="A175" s="195">
        <v>52002</v>
      </c>
      <c r="B175" s="214"/>
      <c r="C175" s="194" t="s">
        <v>446</v>
      </c>
      <c r="D175" s="192">
        <v>338</v>
      </c>
      <c r="E175" s="192">
        <v>300.18</v>
      </c>
      <c r="F175" s="192">
        <v>295.32</v>
      </c>
      <c r="G175" s="192">
        <v>282.19</v>
      </c>
      <c r="H175" s="192"/>
      <c r="I175" s="193"/>
      <c r="J175" s="192"/>
      <c r="K175" s="192"/>
      <c r="L175" s="192"/>
      <c r="M175" s="192"/>
      <c r="N175" s="192"/>
      <c r="O175" s="192"/>
      <c r="P175" s="192"/>
      <c r="Q175" s="192"/>
    </row>
    <row r="176" spans="1:17" ht="17.25" hidden="1" thickBot="1" x14ac:dyDescent="0.35">
      <c r="A176" s="195">
        <v>52003</v>
      </c>
      <c r="B176" s="214"/>
      <c r="C176" s="194" t="s">
        <v>445</v>
      </c>
      <c r="D176" s="192">
        <v>1</v>
      </c>
      <c r="E176" s="192">
        <v>0</v>
      </c>
      <c r="F176" s="192">
        <v>0</v>
      </c>
      <c r="G176" s="192">
        <v>0</v>
      </c>
      <c r="H176" s="192"/>
      <c r="I176" s="193"/>
      <c r="J176" s="192"/>
      <c r="K176" s="192"/>
      <c r="L176" s="192"/>
      <c r="M176" s="192"/>
      <c r="N176" s="192"/>
      <c r="O176" s="192"/>
      <c r="P176" s="192"/>
      <c r="Q176" s="192"/>
    </row>
    <row r="177" spans="1:17" ht="17.25" hidden="1" thickBot="1" x14ac:dyDescent="0.35">
      <c r="A177" s="195">
        <v>56001</v>
      </c>
      <c r="B177" s="214"/>
      <c r="C177" s="194" t="s">
        <v>444</v>
      </c>
      <c r="D177" s="192">
        <v>75</v>
      </c>
      <c r="E177" s="192">
        <v>61</v>
      </c>
      <c r="F177" s="192">
        <v>45</v>
      </c>
      <c r="G177" s="192">
        <v>37</v>
      </c>
      <c r="H177" s="192"/>
      <c r="I177" s="193"/>
      <c r="J177" s="192"/>
      <c r="K177" s="192"/>
      <c r="L177" s="192"/>
      <c r="M177" s="192"/>
      <c r="N177" s="192"/>
      <c r="O177" s="192"/>
      <c r="P177" s="192"/>
      <c r="Q177" s="192"/>
    </row>
    <row r="178" spans="1:17" ht="17.25" hidden="1" thickBot="1" x14ac:dyDescent="0.35">
      <c r="A178" s="195">
        <v>59001</v>
      </c>
      <c r="B178" s="214"/>
      <c r="C178" s="194" t="s">
        <v>443</v>
      </c>
      <c r="D178" s="192">
        <v>187</v>
      </c>
      <c r="E178" s="192">
        <v>187</v>
      </c>
      <c r="F178" s="192">
        <v>186</v>
      </c>
      <c r="G178" s="192">
        <v>225</v>
      </c>
      <c r="H178" s="192"/>
      <c r="I178" s="193"/>
      <c r="J178" s="192"/>
      <c r="K178" s="192"/>
      <c r="L178" s="192"/>
      <c r="M178" s="192"/>
      <c r="N178" s="192"/>
      <c r="O178" s="192"/>
      <c r="P178" s="192"/>
      <c r="Q178" s="192"/>
    </row>
    <row r="179" spans="1:17" ht="17.25" hidden="1" thickBot="1" x14ac:dyDescent="0.35">
      <c r="A179" s="195">
        <v>60002</v>
      </c>
      <c r="B179" s="214"/>
      <c r="C179" s="194" t="s">
        <v>442</v>
      </c>
      <c r="D179" s="193">
        <v>153</v>
      </c>
      <c r="E179" s="193">
        <v>161</v>
      </c>
      <c r="F179" s="193">
        <v>160</v>
      </c>
      <c r="G179" s="193">
        <v>148</v>
      </c>
      <c r="H179" s="193">
        <v>141</v>
      </c>
      <c r="I179" s="193">
        <v>117.5</v>
      </c>
      <c r="J179" s="192">
        <v>102.81</v>
      </c>
      <c r="K179" s="192"/>
      <c r="L179" s="192"/>
      <c r="M179" s="192"/>
      <c r="N179" s="192"/>
      <c r="O179" s="192"/>
      <c r="P179" s="192"/>
      <c r="Q179" s="192"/>
    </row>
    <row r="180" spans="1:17" ht="17.25" hidden="1" thickBot="1" x14ac:dyDescent="0.35">
      <c r="A180" s="195">
        <v>60005</v>
      </c>
      <c r="B180" s="214"/>
      <c r="C180" s="194" t="s">
        <v>441</v>
      </c>
      <c r="D180" s="193">
        <v>272.76</v>
      </c>
      <c r="E180" s="193">
        <v>251.76</v>
      </c>
      <c r="F180" s="193">
        <v>257.13</v>
      </c>
      <c r="G180" s="193">
        <v>258</v>
      </c>
      <c r="H180" s="193">
        <v>264</v>
      </c>
      <c r="I180" s="193">
        <v>252</v>
      </c>
      <c r="J180" s="192">
        <v>277</v>
      </c>
      <c r="K180" s="192"/>
      <c r="L180" s="192"/>
      <c r="M180" s="192"/>
      <c r="N180" s="192"/>
      <c r="O180" s="192"/>
      <c r="P180" s="192"/>
      <c r="Q180" s="192"/>
    </row>
    <row r="181" spans="1:17" ht="17.25" hidden="1" thickBot="1" x14ac:dyDescent="0.35">
      <c r="A181" s="195">
        <v>61004</v>
      </c>
      <c r="B181" s="214"/>
      <c r="C181" s="194" t="s">
        <v>440</v>
      </c>
      <c r="D181" s="192">
        <v>67</v>
      </c>
      <c r="E181" s="192">
        <v>61</v>
      </c>
      <c r="F181" s="192">
        <v>50</v>
      </c>
      <c r="G181" s="192">
        <v>56</v>
      </c>
      <c r="H181" s="192">
        <v>52</v>
      </c>
      <c r="I181" s="193"/>
      <c r="J181" s="192"/>
      <c r="K181" s="192"/>
      <c r="L181" s="192"/>
      <c r="M181" s="192"/>
      <c r="N181" s="192"/>
      <c r="O181" s="192"/>
      <c r="P181" s="192"/>
      <c r="Q181" s="192"/>
    </row>
    <row r="182" spans="1:17" ht="17.25" hidden="1" thickBot="1" x14ac:dyDescent="0.35">
      <c r="A182" s="195">
        <v>61005</v>
      </c>
      <c r="B182" s="214"/>
      <c r="C182" s="194" t="s">
        <v>439</v>
      </c>
      <c r="D182" s="192">
        <v>22</v>
      </c>
      <c r="E182" s="192">
        <v>17</v>
      </c>
      <c r="F182" s="192">
        <v>13</v>
      </c>
      <c r="G182" s="192">
        <v>16</v>
      </c>
      <c r="H182" s="192">
        <v>15</v>
      </c>
      <c r="I182" s="193"/>
      <c r="J182" s="192"/>
      <c r="K182" s="192"/>
      <c r="L182" s="192"/>
      <c r="M182" s="192"/>
      <c r="N182" s="192"/>
      <c r="O182" s="192"/>
      <c r="P182" s="192"/>
      <c r="Q182" s="192"/>
    </row>
    <row r="183" spans="1:17" ht="17.25" hidden="1" thickBot="1" x14ac:dyDescent="0.35">
      <c r="A183" s="195">
        <v>62003</v>
      </c>
      <c r="B183" s="214"/>
      <c r="C183" s="194" t="s">
        <v>438</v>
      </c>
      <c r="D183" s="192">
        <v>615</v>
      </c>
      <c r="E183" s="192">
        <v>581</v>
      </c>
      <c r="F183" s="192">
        <v>574.71</v>
      </c>
      <c r="G183" s="192"/>
      <c r="H183" s="192"/>
      <c r="I183" s="193"/>
      <c r="J183" s="192"/>
      <c r="K183" s="192"/>
      <c r="L183" s="192"/>
      <c r="M183" s="192"/>
      <c r="N183" s="192"/>
      <c r="O183" s="192"/>
      <c r="P183" s="192"/>
      <c r="Q183" s="192"/>
    </row>
    <row r="184" spans="1:17" ht="17.25" hidden="1" thickBot="1" x14ac:dyDescent="0.35">
      <c r="A184" s="195">
        <v>63002</v>
      </c>
      <c r="B184" s="214"/>
      <c r="C184" s="194" t="s">
        <v>437</v>
      </c>
      <c r="D184" s="192">
        <v>189</v>
      </c>
      <c r="E184" s="192">
        <v>192</v>
      </c>
      <c r="F184" s="192"/>
      <c r="G184" s="192"/>
      <c r="H184" s="192"/>
      <c r="I184" s="193"/>
      <c r="J184" s="192"/>
      <c r="K184" s="192"/>
      <c r="L184" s="192"/>
      <c r="M184" s="192"/>
      <c r="N184" s="192"/>
      <c r="O184" s="192"/>
      <c r="P184" s="192"/>
      <c r="Q184" s="192"/>
    </row>
    <row r="185" spans="1:17" ht="17.25" hidden="1" thickBot="1" x14ac:dyDescent="0.35">
      <c r="A185" s="195">
        <v>21002</v>
      </c>
      <c r="B185" s="214"/>
      <c r="C185" s="194" t="s">
        <v>436</v>
      </c>
      <c r="D185" s="193">
        <v>179</v>
      </c>
      <c r="E185" s="193">
        <v>169.4</v>
      </c>
      <c r="F185" s="193">
        <v>164</v>
      </c>
      <c r="G185" s="193">
        <v>166</v>
      </c>
      <c r="H185" s="193">
        <v>171</v>
      </c>
      <c r="I185" s="193">
        <v>160</v>
      </c>
      <c r="J185" s="192">
        <v>155</v>
      </c>
      <c r="K185" s="192">
        <v>144</v>
      </c>
      <c r="L185" s="192">
        <v>143</v>
      </c>
      <c r="M185" s="192">
        <v>135</v>
      </c>
      <c r="N185" s="192"/>
      <c r="O185" s="192"/>
      <c r="P185" s="192"/>
      <c r="Q185" s="192"/>
    </row>
    <row r="186" spans="1:17" ht="17.25" hidden="1" thickBot="1" x14ac:dyDescent="0.35">
      <c r="A186" s="195">
        <v>1002</v>
      </c>
      <c r="B186" s="214"/>
      <c r="C186" s="194" t="s">
        <v>435</v>
      </c>
      <c r="D186" s="193">
        <v>143</v>
      </c>
      <c r="E186" s="193">
        <v>133</v>
      </c>
      <c r="F186" s="193">
        <v>127</v>
      </c>
      <c r="G186" s="193">
        <v>127</v>
      </c>
      <c r="H186" s="193">
        <v>126</v>
      </c>
      <c r="I186" s="193">
        <v>128</v>
      </c>
      <c r="J186" s="192">
        <v>114</v>
      </c>
      <c r="K186" s="192">
        <v>116</v>
      </c>
      <c r="L186" s="192">
        <v>107</v>
      </c>
      <c r="M186" s="192">
        <v>97</v>
      </c>
      <c r="N186" s="192"/>
      <c r="O186" s="192"/>
      <c r="P186" s="192"/>
      <c r="Q186" s="192"/>
    </row>
    <row r="187" spans="1:17" x14ac:dyDescent="0.3">
      <c r="C187" s="191" t="s">
        <v>434</v>
      </c>
      <c r="D187" s="190">
        <f t="shared" ref="D187:L187" si="0">SUM(D4:D186)</f>
        <v>121382.02000000003</v>
      </c>
      <c r="E187" s="190">
        <f t="shared" si="0"/>
        <v>121960.40999999997</v>
      </c>
      <c r="F187" s="190">
        <f t="shared" si="0"/>
        <v>121338.31000000003</v>
      </c>
      <c r="G187" s="190">
        <f t="shared" si="0"/>
        <v>121553.03999999998</v>
      </c>
      <c r="H187" s="190">
        <f t="shared" si="0"/>
        <v>122779.48999999996</v>
      </c>
      <c r="I187" s="190">
        <f t="shared" si="0"/>
        <v>123924.56</v>
      </c>
      <c r="J187" s="190">
        <f t="shared" si="0"/>
        <v>125151.92000000001</v>
      </c>
      <c r="K187" s="190">
        <f t="shared" si="0"/>
        <v>127168.87999999999</v>
      </c>
      <c r="L187" s="190">
        <f t="shared" si="0"/>
        <v>128746.4</v>
      </c>
      <c r="M187" s="190">
        <f>SUM(M4:M152)+M163+M185+M186</f>
        <v>130052.48999999999</v>
      </c>
      <c r="N187" s="190">
        <f>SUM(N4:N152)+N163</f>
        <v>131221.81</v>
      </c>
      <c r="O187" s="190">
        <f>SUM(O4:O152)+O163</f>
        <v>132876.04</v>
      </c>
      <c r="P187" s="190">
        <f>SUM(P4:P152)</f>
        <v>134186.33999999997</v>
      </c>
      <c r="Q187" s="190">
        <f>SUM(Q4:Q152)</f>
        <v>135343.97999999998</v>
      </c>
    </row>
    <row r="188" spans="1:17" x14ac:dyDescent="0.3">
      <c r="Q188" s="189" t="s">
        <v>187</v>
      </c>
    </row>
    <row r="191" spans="1:17" x14ac:dyDescent="0.3">
      <c r="Q191" s="243"/>
    </row>
  </sheetData>
  <pageMargins left="0.22" right="0.5" top="0.5" bottom="0.55000000000000004" header="0.26" footer="0.18"/>
  <pageSetup scale="61" fitToHeight="0" orientation="landscape" r:id="rId1"/>
  <headerFooter alignWithMargins="0">
    <oddFooter>&amp;C&amp;P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6962-47D6-4B7A-A466-24C5E9DD181F}">
  <sheetPr codeName="Sheet3"/>
  <dimension ref="A1:X154"/>
  <sheetViews>
    <sheetView workbookViewId="0">
      <pane ySplit="3" topLeftCell="A94" activePane="bottomLeft" state="frozen"/>
      <selection pane="bottomLeft" activeCell="B107" sqref="B107"/>
    </sheetView>
  </sheetViews>
  <sheetFormatPr defaultRowHeight="15" x14ac:dyDescent="0.25"/>
  <cols>
    <col min="1" max="1" width="6" bestFit="1" customWidth="1"/>
    <col min="2" max="2" width="22.85546875" style="9" bestFit="1" customWidth="1"/>
    <col min="3" max="3" width="30.5703125" customWidth="1"/>
    <col min="4" max="5" width="14.5703125" bestFit="1" customWidth="1"/>
    <col min="6" max="6" width="13.140625" customWidth="1"/>
    <col min="7" max="7" width="13.140625" style="9" customWidth="1"/>
    <col min="8" max="8" width="14.5703125" bestFit="1" customWidth="1"/>
    <col min="9" max="9" width="13.5703125" bestFit="1" customWidth="1"/>
    <col min="10" max="13" width="14.140625" customWidth="1"/>
    <col min="14" max="14" width="13" customWidth="1"/>
    <col min="15" max="15" width="12.85546875" customWidth="1"/>
    <col min="16" max="16" width="12" bestFit="1" customWidth="1"/>
    <col min="17" max="18" width="14.140625" style="9" customWidth="1"/>
    <col min="19" max="19" width="12" bestFit="1" customWidth="1"/>
    <col min="20" max="20" width="11.85546875" customWidth="1"/>
    <col min="21" max="21" width="15.28515625" bestFit="1" customWidth="1"/>
    <col min="22" max="23" width="15.28515625" style="9" bestFit="1" customWidth="1"/>
    <col min="24" max="24" width="15.28515625" style="41" bestFit="1" customWidth="1"/>
  </cols>
  <sheetData>
    <row r="1" spans="1:24" ht="20.25" x14ac:dyDescent="0.35">
      <c r="A1" s="3"/>
      <c r="B1" s="3"/>
      <c r="C1" s="4" t="s">
        <v>16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57" x14ac:dyDescent="0.25">
      <c r="A2" s="3"/>
      <c r="B2" s="3"/>
      <c r="C2" s="6" t="s">
        <v>587</v>
      </c>
      <c r="D2" s="5"/>
      <c r="E2" s="5"/>
      <c r="F2" s="210" t="s">
        <v>502</v>
      </c>
      <c r="G2" s="210" t="s">
        <v>502</v>
      </c>
      <c r="H2" s="5"/>
      <c r="I2" s="5"/>
      <c r="J2" s="5"/>
      <c r="K2" s="5"/>
      <c r="L2" s="210" t="s">
        <v>502</v>
      </c>
      <c r="M2" s="210" t="s">
        <v>502</v>
      </c>
      <c r="N2" s="5"/>
      <c r="O2" s="5"/>
      <c r="P2" s="5"/>
      <c r="Q2" s="210" t="s">
        <v>502</v>
      </c>
      <c r="R2" s="210" t="s">
        <v>502</v>
      </c>
      <c r="S2" s="5"/>
      <c r="T2" s="5"/>
    </row>
    <row r="3" spans="1:24" s="36" customFormat="1" ht="57" x14ac:dyDescent="0.25">
      <c r="A3" s="34" t="s">
        <v>18</v>
      </c>
      <c r="B3" s="34" t="s">
        <v>485</v>
      </c>
      <c r="C3" s="34" t="s">
        <v>19</v>
      </c>
      <c r="D3" s="37" t="s">
        <v>20</v>
      </c>
      <c r="E3" s="38" t="s">
        <v>21</v>
      </c>
      <c r="F3" s="35" t="s">
        <v>22</v>
      </c>
      <c r="G3" s="35" t="s">
        <v>23</v>
      </c>
      <c r="H3" s="39" t="s">
        <v>24</v>
      </c>
      <c r="I3" s="39" t="s">
        <v>25</v>
      </c>
      <c r="J3" s="37" t="s">
        <v>26</v>
      </c>
      <c r="K3" s="38" t="s">
        <v>27</v>
      </c>
      <c r="L3" s="35" t="s">
        <v>28</v>
      </c>
      <c r="M3" s="35" t="s">
        <v>29</v>
      </c>
      <c r="N3" s="39" t="s">
        <v>30</v>
      </c>
      <c r="O3" s="37" t="s">
        <v>31</v>
      </c>
      <c r="P3" s="38" t="s">
        <v>32</v>
      </c>
      <c r="Q3" s="35" t="s">
        <v>33</v>
      </c>
      <c r="R3" s="35" t="s">
        <v>34</v>
      </c>
      <c r="S3" s="39" t="s">
        <v>35</v>
      </c>
      <c r="T3" s="39" t="s">
        <v>36</v>
      </c>
      <c r="U3" s="37" t="s">
        <v>20</v>
      </c>
      <c r="V3" s="38" t="s">
        <v>21</v>
      </c>
      <c r="W3" s="39" t="s">
        <v>364</v>
      </c>
      <c r="X3" s="42" t="s">
        <v>365</v>
      </c>
    </row>
    <row r="4" spans="1:24" ht="15.75" x14ac:dyDescent="0.3">
      <c r="A4" s="7">
        <v>6001</v>
      </c>
      <c r="B4" s="20" t="s">
        <v>198</v>
      </c>
      <c r="C4" s="7" t="s">
        <v>37</v>
      </c>
      <c r="D4" s="8">
        <v>364222318</v>
      </c>
      <c r="E4" s="8">
        <v>1286236306</v>
      </c>
      <c r="F4" s="8">
        <v>3464810</v>
      </c>
      <c r="G4" s="8">
        <v>10609120</v>
      </c>
      <c r="H4" s="8">
        <v>622215651</v>
      </c>
      <c r="I4" s="8">
        <v>66511792</v>
      </c>
      <c r="J4" s="8">
        <v>1</v>
      </c>
      <c r="K4" s="8">
        <v>0</v>
      </c>
      <c r="L4" s="8"/>
      <c r="M4" s="8"/>
      <c r="N4" s="8">
        <v>330707</v>
      </c>
      <c r="O4" s="8">
        <v>28297</v>
      </c>
      <c r="P4" s="8">
        <v>44573394</v>
      </c>
      <c r="Q4" s="8">
        <v>0</v>
      </c>
      <c r="R4" s="8">
        <v>0</v>
      </c>
      <c r="S4" s="8">
        <v>16039910</v>
      </c>
      <c r="T4" s="8">
        <v>0</v>
      </c>
      <c r="U4" s="40">
        <f>D4+J4+O4</f>
        <v>364250616</v>
      </c>
      <c r="V4" s="40">
        <f>E4+K4+P4</f>
        <v>1330809700</v>
      </c>
      <c r="W4" s="40">
        <f>H4+I4+N4+S4+T4</f>
        <v>705098060</v>
      </c>
      <c r="X4" s="43">
        <f>U4+V4+W4</f>
        <v>2400158376</v>
      </c>
    </row>
    <row r="5" spans="1:24" ht="15.75" x14ac:dyDescent="0.3">
      <c r="A5" s="7">
        <v>58003</v>
      </c>
      <c r="B5" s="20" t="s">
        <v>199</v>
      </c>
      <c r="C5" s="7" t="s">
        <v>38</v>
      </c>
      <c r="D5" s="8">
        <v>1002011654</v>
      </c>
      <c r="E5" s="8">
        <v>68745234</v>
      </c>
      <c r="F5" s="8">
        <v>3617979</v>
      </c>
      <c r="G5" s="8">
        <v>5743800</v>
      </c>
      <c r="H5" s="8">
        <v>91512444</v>
      </c>
      <c r="I5" s="8">
        <v>715037</v>
      </c>
      <c r="J5" s="8">
        <v>0</v>
      </c>
      <c r="K5" s="8">
        <v>0</v>
      </c>
      <c r="L5" s="8"/>
      <c r="M5" s="8"/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40">
        <f t="shared" ref="U5:U68" si="0">D5+J5+O5</f>
        <v>1002011654</v>
      </c>
      <c r="V5" s="40">
        <f t="shared" ref="V5:V68" si="1">E5+K5+P5</f>
        <v>68745234</v>
      </c>
      <c r="W5" s="40">
        <f t="shared" ref="W5:W68" si="2">H5+I5+N5+S5+T5</f>
        <v>92227481</v>
      </c>
      <c r="X5" s="43">
        <f t="shared" ref="X5:X68" si="3">U5+V5+W5</f>
        <v>1162984369</v>
      </c>
    </row>
    <row r="6" spans="1:24" ht="15.75" x14ac:dyDescent="0.3">
      <c r="A6" s="7">
        <v>61001</v>
      </c>
      <c r="B6" s="20" t="s">
        <v>200</v>
      </c>
      <c r="C6" s="7" t="s">
        <v>39</v>
      </c>
      <c r="D6" s="8">
        <v>261699623</v>
      </c>
      <c r="E6" s="8">
        <v>70018912</v>
      </c>
      <c r="F6" s="8">
        <v>131258</v>
      </c>
      <c r="G6" s="8">
        <v>763423</v>
      </c>
      <c r="H6" s="8">
        <v>37136154</v>
      </c>
      <c r="I6" s="8">
        <v>2842425</v>
      </c>
      <c r="J6" s="8">
        <v>0</v>
      </c>
      <c r="K6" s="8">
        <v>0</v>
      </c>
      <c r="L6" s="8"/>
      <c r="M6" s="8"/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40">
        <f t="shared" si="0"/>
        <v>261699623</v>
      </c>
      <c r="V6" s="40">
        <f t="shared" si="1"/>
        <v>70018912</v>
      </c>
      <c r="W6" s="40">
        <f t="shared" si="2"/>
        <v>39978579</v>
      </c>
      <c r="X6" s="43">
        <f t="shared" si="3"/>
        <v>371697114</v>
      </c>
    </row>
    <row r="7" spans="1:24" ht="15.75" x14ac:dyDescent="0.3">
      <c r="A7" s="7">
        <v>11001</v>
      </c>
      <c r="B7" s="20" t="s">
        <v>201</v>
      </c>
      <c r="C7" s="7" t="s">
        <v>40</v>
      </c>
      <c r="D7" s="8">
        <v>144076406</v>
      </c>
      <c r="E7" s="8">
        <v>39505211</v>
      </c>
      <c r="F7" s="8">
        <v>2757264</v>
      </c>
      <c r="G7" s="8">
        <v>957145</v>
      </c>
      <c r="H7" s="8">
        <v>48764624</v>
      </c>
      <c r="I7" s="8">
        <v>858736</v>
      </c>
      <c r="J7" s="8">
        <v>0</v>
      </c>
      <c r="K7" s="8">
        <v>0</v>
      </c>
      <c r="L7" s="8"/>
      <c r="M7" s="8"/>
      <c r="N7" s="8">
        <v>1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40">
        <f t="shared" si="0"/>
        <v>144076406</v>
      </c>
      <c r="V7" s="40">
        <f t="shared" si="1"/>
        <v>39505211</v>
      </c>
      <c r="W7" s="40">
        <f t="shared" si="2"/>
        <v>49623361</v>
      </c>
      <c r="X7" s="43">
        <f t="shared" si="3"/>
        <v>233204978</v>
      </c>
    </row>
    <row r="8" spans="1:24" ht="15.75" x14ac:dyDescent="0.3">
      <c r="A8" s="7">
        <v>38001</v>
      </c>
      <c r="B8" s="20" t="s">
        <v>202</v>
      </c>
      <c r="C8" s="7" t="s">
        <v>41</v>
      </c>
      <c r="D8" s="8">
        <v>277810415</v>
      </c>
      <c r="E8" s="8">
        <v>73431407</v>
      </c>
      <c r="F8" s="8">
        <v>513211</v>
      </c>
      <c r="G8" s="8">
        <v>1071035</v>
      </c>
      <c r="H8" s="8">
        <v>42785726</v>
      </c>
      <c r="I8" s="8">
        <v>5525527</v>
      </c>
      <c r="J8" s="8">
        <v>3</v>
      </c>
      <c r="K8" s="8">
        <v>0</v>
      </c>
      <c r="L8" s="8"/>
      <c r="M8" s="8"/>
      <c r="N8" s="8">
        <v>1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40">
        <f t="shared" si="0"/>
        <v>277810418</v>
      </c>
      <c r="V8" s="40">
        <f t="shared" si="1"/>
        <v>73431407</v>
      </c>
      <c r="W8" s="40">
        <f t="shared" si="2"/>
        <v>48311254</v>
      </c>
      <c r="X8" s="43">
        <f t="shared" si="3"/>
        <v>399553079</v>
      </c>
    </row>
    <row r="9" spans="1:24" ht="15.75" x14ac:dyDescent="0.3">
      <c r="A9" s="7">
        <v>21001</v>
      </c>
      <c r="B9" s="20" t="s">
        <v>203</v>
      </c>
      <c r="C9" s="7" t="s">
        <v>42</v>
      </c>
      <c r="D9" s="8">
        <v>157627168</v>
      </c>
      <c r="E9" s="8">
        <v>22903740</v>
      </c>
      <c r="F9" s="8">
        <v>131216</v>
      </c>
      <c r="G9" s="8">
        <v>682548</v>
      </c>
      <c r="H9" s="8">
        <v>10912809</v>
      </c>
      <c r="I9" s="8">
        <v>1292647</v>
      </c>
      <c r="J9" s="8">
        <v>0</v>
      </c>
      <c r="K9" s="8">
        <v>0</v>
      </c>
      <c r="L9" s="8"/>
      <c r="M9" s="8"/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40">
        <f t="shared" si="0"/>
        <v>157627168</v>
      </c>
      <c r="V9" s="40">
        <f t="shared" si="1"/>
        <v>22903740</v>
      </c>
      <c r="W9" s="40">
        <f t="shared" si="2"/>
        <v>12205456</v>
      </c>
      <c r="X9" s="43">
        <f t="shared" si="3"/>
        <v>192736364</v>
      </c>
    </row>
    <row r="10" spans="1:24" ht="15.75" x14ac:dyDescent="0.3">
      <c r="A10" s="7">
        <v>4001</v>
      </c>
      <c r="B10" s="20" t="s">
        <v>204</v>
      </c>
      <c r="C10" s="7" t="s">
        <v>43</v>
      </c>
      <c r="D10" s="8">
        <v>194019432</v>
      </c>
      <c r="E10" s="8">
        <v>24444409</v>
      </c>
      <c r="F10" s="8">
        <v>100779</v>
      </c>
      <c r="G10" s="8">
        <v>438544</v>
      </c>
      <c r="H10" s="8">
        <v>8555900</v>
      </c>
      <c r="I10" s="8">
        <v>847239</v>
      </c>
      <c r="J10" s="8">
        <v>2</v>
      </c>
      <c r="K10" s="8">
        <v>0</v>
      </c>
      <c r="L10" s="8"/>
      <c r="M10" s="8"/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40">
        <f t="shared" si="0"/>
        <v>194019434</v>
      </c>
      <c r="V10" s="40">
        <f t="shared" si="1"/>
        <v>24444409</v>
      </c>
      <c r="W10" s="40">
        <f t="shared" si="2"/>
        <v>9403139</v>
      </c>
      <c r="X10" s="43">
        <f t="shared" si="3"/>
        <v>227866982</v>
      </c>
    </row>
    <row r="11" spans="1:24" ht="15.75" x14ac:dyDescent="0.3">
      <c r="A11" s="7">
        <v>49001</v>
      </c>
      <c r="B11" s="20" t="s">
        <v>205</v>
      </c>
      <c r="C11" s="7" t="s">
        <v>44</v>
      </c>
      <c r="D11" s="8">
        <v>64519028</v>
      </c>
      <c r="E11" s="8">
        <v>122969922</v>
      </c>
      <c r="F11" s="8">
        <v>390263</v>
      </c>
      <c r="G11" s="8">
        <v>721020</v>
      </c>
      <c r="H11" s="8">
        <v>26109913</v>
      </c>
      <c r="I11" s="8">
        <v>969518</v>
      </c>
      <c r="J11" s="8">
        <v>0</v>
      </c>
      <c r="K11" s="8">
        <v>0</v>
      </c>
      <c r="L11" s="8"/>
      <c r="M11" s="8"/>
      <c r="N11" s="8">
        <v>51607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40">
        <f t="shared" si="0"/>
        <v>64519028</v>
      </c>
      <c r="V11" s="40">
        <f t="shared" si="1"/>
        <v>122969922</v>
      </c>
      <c r="W11" s="40">
        <f t="shared" si="2"/>
        <v>27131038</v>
      </c>
      <c r="X11" s="43">
        <f t="shared" si="3"/>
        <v>214619988</v>
      </c>
    </row>
    <row r="12" spans="1:24" ht="15.75" x14ac:dyDescent="0.3">
      <c r="A12" s="7">
        <v>9001</v>
      </c>
      <c r="B12" s="20" t="s">
        <v>206</v>
      </c>
      <c r="C12" s="7" t="s">
        <v>45</v>
      </c>
      <c r="D12" s="8">
        <v>96989820</v>
      </c>
      <c r="E12" s="8">
        <v>274744004</v>
      </c>
      <c r="F12" s="8">
        <v>6059028</v>
      </c>
      <c r="G12" s="8">
        <v>22300325</v>
      </c>
      <c r="H12" s="8">
        <v>153327357</v>
      </c>
      <c r="I12" s="8">
        <v>11607418</v>
      </c>
      <c r="J12" s="8">
        <v>0</v>
      </c>
      <c r="K12" s="8">
        <v>0</v>
      </c>
      <c r="L12" s="8"/>
      <c r="M12" s="8"/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40">
        <f t="shared" si="0"/>
        <v>96989820</v>
      </c>
      <c r="V12" s="40">
        <f t="shared" si="1"/>
        <v>274744004</v>
      </c>
      <c r="W12" s="40">
        <f t="shared" si="2"/>
        <v>164934775</v>
      </c>
      <c r="X12" s="43">
        <f t="shared" si="3"/>
        <v>536668599</v>
      </c>
    </row>
    <row r="13" spans="1:24" ht="15.75" x14ac:dyDescent="0.3">
      <c r="A13" s="7">
        <v>3001</v>
      </c>
      <c r="B13" s="20" t="s">
        <v>207</v>
      </c>
      <c r="C13" s="7" t="s">
        <v>46</v>
      </c>
      <c r="D13" s="8">
        <v>177508174</v>
      </c>
      <c r="E13" s="8">
        <v>24461468</v>
      </c>
      <c r="F13" s="8">
        <v>358863</v>
      </c>
      <c r="G13" s="8">
        <v>1774061</v>
      </c>
      <c r="H13" s="8">
        <v>12931627</v>
      </c>
      <c r="I13" s="8">
        <v>968</v>
      </c>
      <c r="J13" s="8">
        <v>0</v>
      </c>
      <c r="K13" s="8">
        <v>0</v>
      </c>
      <c r="L13" s="8"/>
      <c r="M13" s="8"/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40">
        <f t="shared" si="0"/>
        <v>177508174</v>
      </c>
      <c r="V13" s="40">
        <f t="shared" si="1"/>
        <v>24461468</v>
      </c>
      <c r="W13" s="40">
        <f t="shared" si="2"/>
        <v>12932595</v>
      </c>
      <c r="X13" s="43">
        <f t="shared" si="3"/>
        <v>214902237</v>
      </c>
    </row>
    <row r="14" spans="1:24" ht="15.75" x14ac:dyDescent="0.3">
      <c r="A14" s="7">
        <v>61002</v>
      </c>
      <c r="B14" s="20" t="s">
        <v>208</v>
      </c>
      <c r="C14" s="7" t="s">
        <v>47</v>
      </c>
      <c r="D14" s="8">
        <v>311782277</v>
      </c>
      <c r="E14" s="8">
        <v>134725293</v>
      </c>
      <c r="F14" s="8">
        <v>180065</v>
      </c>
      <c r="G14" s="8">
        <v>486136</v>
      </c>
      <c r="H14" s="8">
        <v>63295530</v>
      </c>
      <c r="I14" s="8">
        <v>1354505</v>
      </c>
      <c r="J14" s="8">
        <v>0</v>
      </c>
      <c r="K14" s="8">
        <v>0</v>
      </c>
      <c r="L14" s="8"/>
      <c r="M14" s="8"/>
      <c r="N14" s="8">
        <v>2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40">
        <f t="shared" si="0"/>
        <v>311782277</v>
      </c>
      <c r="V14" s="40">
        <f t="shared" si="1"/>
        <v>134725293</v>
      </c>
      <c r="W14" s="40">
        <f t="shared" si="2"/>
        <v>64650037</v>
      </c>
      <c r="X14" s="43">
        <f t="shared" si="3"/>
        <v>511157607</v>
      </c>
    </row>
    <row r="15" spans="1:24" ht="15.75" x14ac:dyDescent="0.3">
      <c r="A15" s="7">
        <v>25001</v>
      </c>
      <c r="B15" s="20" t="s">
        <v>209</v>
      </c>
      <c r="C15" s="7" t="s">
        <v>48</v>
      </c>
      <c r="D15" s="8">
        <v>9260730</v>
      </c>
      <c r="E15" s="8">
        <v>35342592</v>
      </c>
      <c r="F15" s="8">
        <v>482480</v>
      </c>
      <c r="G15" s="8">
        <v>641878</v>
      </c>
      <c r="H15" s="8">
        <v>19428394</v>
      </c>
      <c r="I15" s="8">
        <v>20153996</v>
      </c>
      <c r="J15" s="8">
        <v>0</v>
      </c>
      <c r="K15" s="8">
        <v>0</v>
      </c>
      <c r="L15" s="8"/>
      <c r="M15" s="8"/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40">
        <f t="shared" si="0"/>
        <v>9260730</v>
      </c>
      <c r="V15" s="40">
        <f t="shared" si="1"/>
        <v>35342592</v>
      </c>
      <c r="W15" s="40">
        <f t="shared" si="2"/>
        <v>39582390</v>
      </c>
      <c r="X15" s="43">
        <f t="shared" si="3"/>
        <v>84185712</v>
      </c>
    </row>
    <row r="16" spans="1:24" ht="15.75" x14ac:dyDescent="0.3">
      <c r="A16" s="7">
        <v>52001</v>
      </c>
      <c r="B16" s="20" t="s">
        <v>210</v>
      </c>
      <c r="C16" s="7" t="s">
        <v>49</v>
      </c>
      <c r="D16" s="8">
        <v>350868042</v>
      </c>
      <c r="E16" s="8">
        <v>15655837</v>
      </c>
      <c r="F16" s="8">
        <v>559963</v>
      </c>
      <c r="G16" s="8">
        <v>2152035</v>
      </c>
      <c r="H16" s="8">
        <v>10367943</v>
      </c>
      <c r="I16" s="8">
        <v>7333</v>
      </c>
      <c r="J16" s="8">
        <v>0</v>
      </c>
      <c r="K16" s="8">
        <v>5</v>
      </c>
      <c r="L16" s="8"/>
      <c r="M16" s="8"/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40">
        <f t="shared" si="0"/>
        <v>350868042</v>
      </c>
      <c r="V16" s="40">
        <f t="shared" si="1"/>
        <v>15655842</v>
      </c>
      <c r="W16" s="40">
        <f t="shared" si="2"/>
        <v>10375277</v>
      </c>
      <c r="X16" s="43">
        <f t="shared" si="3"/>
        <v>376899161</v>
      </c>
    </row>
    <row r="17" spans="1:24" ht="15.75" x14ac:dyDescent="0.3">
      <c r="A17" s="7">
        <v>4002</v>
      </c>
      <c r="B17" s="20" t="s">
        <v>211</v>
      </c>
      <c r="C17" s="7" t="s">
        <v>50</v>
      </c>
      <c r="D17" s="8">
        <v>360928154</v>
      </c>
      <c r="E17" s="8">
        <v>88805839</v>
      </c>
      <c r="F17" s="8">
        <v>529554</v>
      </c>
      <c r="G17" s="8">
        <v>1677451</v>
      </c>
      <c r="H17" s="8">
        <v>37995304</v>
      </c>
      <c r="I17" s="8">
        <v>1145972</v>
      </c>
      <c r="J17" s="8">
        <v>4</v>
      </c>
      <c r="K17" s="8">
        <v>0</v>
      </c>
      <c r="L17" s="8"/>
      <c r="M17" s="8"/>
      <c r="N17" s="8">
        <v>2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40">
        <f t="shared" si="0"/>
        <v>360928158</v>
      </c>
      <c r="V17" s="40">
        <f t="shared" si="1"/>
        <v>88805839</v>
      </c>
      <c r="W17" s="40">
        <f t="shared" si="2"/>
        <v>39141278</v>
      </c>
      <c r="X17" s="43">
        <f t="shared" si="3"/>
        <v>488875275</v>
      </c>
    </row>
    <row r="18" spans="1:24" ht="15.75" x14ac:dyDescent="0.3">
      <c r="A18" s="7">
        <v>22001</v>
      </c>
      <c r="B18" s="20" t="s">
        <v>212</v>
      </c>
      <c r="C18" s="7" t="s">
        <v>51</v>
      </c>
      <c r="D18" s="8">
        <v>235404203</v>
      </c>
      <c r="E18" s="8">
        <v>13579502</v>
      </c>
      <c r="F18" s="8">
        <v>151421</v>
      </c>
      <c r="G18" s="8">
        <v>426566</v>
      </c>
      <c r="H18" s="8">
        <v>13076349</v>
      </c>
      <c r="I18" s="8">
        <v>5835694</v>
      </c>
      <c r="J18" s="8">
        <v>0</v>
      </c>
      <c r="K18" s="8">
        <v>0</v>
      </c>
      <c r="L18" s="8"/>
      <c r="M18" s="8"/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40">
        <f t="shared" si="0"/>
        <v>235404203</v>
      </c>
      <c r="V18" s="40">
        <f t="shared" si="1"/>
        <v>13579502</v>
      </c>
      <c r="W18" s="40">
        <f t="shared" si="2"/>
        <v>18912043</v>
      </c>
      <c r="X18" s="43">
        <f t="shared" si="3"/>
        <v>267895748</v>
      </c>
    </row>
    <row r="19" spans="1:24" ht="15.75" x14ac:dyDescent="0.3">
      <c r="A19" s="7">
        <v>49002</v>
      </c>
      <c r="B19" s="20" t="s">
        <v>213</v>
      </c>
      <c r="C19" s="7" t="s">
        <v>52</v>
      </c>
      <c r="D19" s="8">
        <v>145529165</v>
      </c>
      <c r="E19" s="8">
        <v>1357476215</v>
      </c>
      <c r="F19" s="8">
        <v>2168127</v>
      </c>
      <c r="G19" s="8">
        <v>5942986</v>
      </c>
      <c r="H19" s="8">
        <v>396485932</v>
      </c>
      <c r="I19" s="8">
        <v>63589704</v>
      </c>
      <c r="J19" s="8">
        <v>0</v>
      </c>
      <c r="K19" s="8">
        <v>0</v>
      </c>
      <c r="L19" s="8"/>
      <c r="M19" s="8"/>
      <c r="N19" s="8">
        <v>960179</v>
      </c>
      <c r="O19" s="8">
        <v>0</v>
      </c>
      <c r="P19" s="8">
        <v>0</v>
      </c>
      <c r="Q19" s="8">
        <v>0</v>
      </c>
      <c r="R19" s="8">
        <v>0</v>
      </c>
      <c r="S19" s="8">
        <v>14098110</v>
      </c>
      <c r="T19" s="8">
        <v>0</v>
      </c>
      <c r="U19" s="40">
        <f t="shared" si="0"/>
        <v>145529165</v>
      </c>
      <c r="V19" s="40">
        <f t="shared" si="1"/>
        <v>1357476215</v>
      </c>
      <c r="W19" s="40">
        <f t="shared" si="2"/>
        <v>475133925</v>
      </c>
      <c r="X19" s="43">
        <f t="shared" si="3"/>
        <v>1978139305</v>
      </c>
    </row>
    <row r="20" spans="1:24" ht="15.75" x14ac:dyDescent="0.3">
      <c r="A20" s="7">
        <v>30003</v>
      </c>
      <c r="B20" s="20" t="s">
        <v>214</v>
      </c>
      <c r="C20" s="7" t="s">
        <v>53</v>
      </c>
      <c r="D20" s="8">
        <v>306992433</v>
      </c>
      <c r="E20" s="8">
        <v>39882160</v>
      </c>
      <c r="F20" s="8">
        <v>71279</v>
      </c>
      <c r="G20" s="8">
        <v>360968</v>
      </c>
      <c r="H20" s="8">
        <v>20208079</v>
      </c>
      <c r="I20" s="8">
        <v>18044753</v>
      </c>
      <c r="J20" s="8">
        <v>3</v>
      </c>
      <c r="K20" s="8">
        <v>0</v>
      </c>
      <c r="L20" s="8"/>
      <c r="M20" s="8"/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40">
        <f t="shared" si="0"/>
        <v>306992436</v>
      </c>
      <c r="V20" s="40">
        <f t="shared" si="1"/>
        <v>39882160</v>
      </c>
      <c r="W20" s="40">
        <f t="shared" si="2"/>
        <v>38252832</v>
      </c>
      <c r="X20" s="43">
        <f t="shared" si="3"/>
        <v>385127428</v>
      </c>
    </row>
    <row r="21" spans="1:24" ht="15.75" x14ac:dyDescent="0.3">
      <c r="A21" s="7">
        <v>45004</v>
      </c>
      <c r="B21" s="20" t="s">
        <v>377</v>
      </c>
      <c r="C21" s="7" t="s">
        <v>54</v>
      </c>
      <c r="D21" s="8">
        <v>614900392</v>
      </c>
      <c r="E21" s="8">
        <v>103351124</v>
      </c>
      <c r="F21" s="8">
        <v>941662</v>
      </c>
      <c r="G21" s="8">
        <v>3125506</v>
      </c>
      <c r="H21" s="8">
        <v>71160130</v>
      </c>
      <c r="I21" s="8">
        <v>19651187</v>
      </c>
      <c r="J21" s="8">
        <v>0</v>
      </c>
      <c r="K21" s="8">
        <v>0</v>
      </c>
      <c r="L21" s="8"/>
      <c r="M21" s="8"/>
      <c r="N21" s="8">
        <v>3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40">
        <f t="shared" si="0"/>
        <v>614900392</v>
      </c>
      <c r="V21" s="40">
        <f t="shared" si="1"/>
        <v>103351124</v>
      </c>
      <c r="W21" s="40">
        <f t="shared" si="2"/>
        <v>90811320</v>
      </c>
      <c r="X21" s="43">
        <f t="shared" si="3"/>
        <v>809062836</v>
      </c>
    </row>
    <row r="22" spans="1:24" ht="15.75" x14ac:dyDescent="0.3">
      <c r="A22" s="7">
        <v>5001</v>
      </c>
      <c r="B22" s="20" t="s">
        <v>216</v>
      </c>
      <c r="C22" s="7" t="s">
        <v>55</v>
      </c>
      <c r="D22" s="8">
        <v>230320223</v>
      </c>
      <c r="E22" s="8">
        <v>869720628</v>
      </c>
      <c r="F22" s="8">
        <v>6219757</v>
      </c>
      <c r="G22" s="8">
        <v>9857833</v>
      </c>
      <c r="H22" s="8">
        <v>615938784</v>
      </c>
      <c r="I22" s="8">
        <v>10155264</v>
      </c>
      <c r="J22" s="8">
        <v>0</v>
      </c>
      <c r="K22" s="8">
        <v>0</v>
      </c>
      <c r="L22" s="8"/>
      <c r="M22" s="8"/>
      <c r="N22" s="8">
        <v>0</v>
      </c>
      <c r="O22" s="8">
        <v>59330</v>
      </c>
      <c r="P22" s="8">
        <v>17837905</v>
      </c>
      <c r="Q22" s="8">
        <v>0</v>
      </c>
      <c r="R22" s="8">
        <v>0</v>
      </c>
      <c r="S22" s="8">
        <v>24454150</v>
      </c>
      <c r="T22" s="8">
        <v>0</v>
      </c>
      <c r="U22" s="40">
        <f t="shared" si="0"/>
        <v>230379553</v>
      </c>
      <c r="V22" s="40">
        <f t="shared" si="1"/>
        <v>887558533</v>
      </c>
      <c r="W22" s="40">
        <f t="shared" si="2"/>
        <v>650548198</v>
      </c>
      <c r="X22" s="43">
        <f t="shared" si="3"/>
        <v>1768486284</v>
      </c>
    </row>
    <row r="23" spans="1:24" ht="15.75" x14ac:dyDescent="0.3">
      <c r="A23" s="7">
        <v>26002</v>
      </c>
      <c r="B23" s="20" t="s">
        <v>217</v>
      </c>
      <c r="C23" s="7" t="s">
        <v>56</v>
      </c>
      <c r="D23" s="8">
        <v>158527121</v>
      </c>
      <c r="E23" s="8">
        <v>33546703</v>
      </c>
      <c r="F23" s="8">
        <v>665212</v>
      </c>
      <c r="G23" s="8">
        <v>1497382</v>
      </c>
      <c r="H23" s="8">
        <v>14653340</v>
      </c>
      <c r="I23" s="8">
        <v>0</v>
      </c>
      <c r="J23" s="8">
        <v>0</v>
      </c>
      <c r="K23" s="8">
        <v>0</v>
      </c>
      <c r="L23" s="8"/>
      <c r="M23" s="8"/>
      <c r="N23" s="8">
        <v>54964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40">
        <f t="shared" si="0"/>
        <v>158527121</v>
      </c>
      <c r="V23" s="40">
        <f t="shared" si="1"/>
        <v>33546703</v>
      </c>
      <c r="W23" s="40">
        <f t="shared" si="2"/>
        <v>14708304</v>
      </c>
      <c r="X23" s="43">
        <f t="shared" si="3"/>
        <v>206782128</v>
      </c>
    </row>
    <row r="24" spans="1:24" ht="15.75" x14ac:dyDescent="0.3">
      <c r="A24" s="7">
        <v>43001</v>
      </c>
      <c r="B24" s="20" t="s">
        <v>218</v>
      </c>
      <c r="C24" s="7" t="s">
        <v>57</v>
      </c>
      <c r="D24" s="8">
        <v>137099326</v>
      </c>
      <c r="E24" s="8">
        <v>48700009</v>
      </c>
      <c r="F24" s="8">
        <v>106120</v>
      </c>
      <c r="G24" s="8">
        <v>644876</v>
      </c>
      <c r="H24" s="8">
        <v>15059136</v>
      </c>
      <c r="I24" s="8">
        <v>2761791</v>
      </c>
      <c r="J24" s="8">
        <v>1</v>
      </c>
      <c r="K24" s="8">
        <v>0</v>
      </c>
      <c r="L24" s="8"/>
      <c r="M24" s="8"/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40">
        <f t="shared" si="0"/>
        <v>137099327</v>
      </c>
      <c r="V24" s="40">
        <f t="shared" si="1"/>
        <v>48700009</v>
      </c>
      <c r="W24" s="40">
        <f t="shared" si="2"/>
        <v>17820927</v>
      </c>
      <c r="X24" s="43">
        <f t="shared" si="3"/>
        <v>203620263</v>
      </c>
    </row>
    <row r="25" spans="1:24" ht="15.75" x14ac:dyDescent="0.3">
      <c r="A25" s="7">
        <v>41001</v>
      </c>
      <c r="B25" s="20" t="s">
        <v>219</v>
      </c>
      <c r="C25" s="7" t="s">
        <v>58</v>
      </c>
      <c r="D25" s="8">
        <v>261191109</v>
      </c>
      <c r="E25" s="8">
        <v>296915116</v>
      </c>
      <c r="F25" s="8">
        <v>220431</v>
      </c>
      <c r="G25" s="8">
        <v>1004764</v>
      </c>
      <c r="H25" s="8">
        <v>78324379</v>
      </c>
      <c r="I25" s="8">
        <v>12418576</v>
      </c>
      <c r="J25" s="8">
        <v>0</v>
      </c>
      <c r="K25" s="8">
        <v>0</v>
      </c>
      <c r="L25" s="8"/>
      <c r="M25" s="8"/>
      <c r="N25" s="8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40">
        <f t="shared" si="0"/>
        <v>261191109</v>
      </c>
      <c r="V25" s="40">
        <f t="shared" si="1"/>
        <v>296915116</v>
      </c>
      <c r="W25" s="40">
        <f t="shared" si="2"/>
        <v>90742956</v>
      </c>
      <c r="X25" s="43">
        <f t="shared" si="3"/>
        <v>648849181</v>
      </c>
    </row>
    <row r="26" spans="1:24" ht="15.75" x14ac:dyDescent="0.3">
      <c r="A26" s="7">
        <v>28001</v>
      </c>
      <c r="B26" s="20" t="s">
        <v>220</v>
      </c>
      <c r="C26" s="7" t="s">
        <v>59</v>
      </c>
      <c r="D26" s="8">
        <v>191630196</v>
      </c>
      <c r="E26" s="8">
        <v>60512845</v>
      </c>
      <c r="F26" s="8">
        <v>181375</v>
      </c>
      <c r="G26" s="8">
        <v>588907</v>
      </c>
      <c r="H26" s="8">
        <v>13749221</v>
      </c>
      <c r="I26" s="8">
        <v>7011759</v>
      </c>
      <c r="J26" s="8">
        <v>1</v>
      </c>
      <c r="K26" s="8">
        <v>0</v>
      </c>
      <c r="L26" s="8"/>
      <c r="M26" s="8"/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40">
        <f t="shared" si="0"/>
        <v>191630197</v>
      </c>
      <c r="V26" s="40">
        <f t="shared" si="1"/>
        <v>60512845</v>
      </c>
      <c r="W26" s="40">
        <f t="shared" si="2"/>
        <v>20760980</v>
      </c>
      <c r="X26" s="43">
        <f t="shared" si="3"/>
        <v>272904022</v>
      </c>
    </row>
    <row r="27" spans="1:24" ht="15.75" x14ac:dyDescent="0.3">
      <c r="A27" s="7">
        <v>60001</v>
      </c>
      <c r="B27" s="20" t="s">
        <v>221</v>
      </c>
      <c r="C27" s="7" t="s">
        <v>60</v>
      </c>
      <c r="D27" s="8">
        <v>215520039</v>
      </c>
      <c r="E27" s="8">
        <v>48899434</v>
      </c>
      <c r="F27" s="8">
        <v>86455</v>
      </c>
      <c r="G27" s="8">
        <v>1257004</v>
      </c>
      <c r="H27" s="8">
        <v>12092485</v>
      </c>
      <c r="I27" s="8">
        <v>1667888</v>
      </c>
      <c r="J27" s="8">
        <v>2</v>
      </c>
      <c r="K27" s="8">
        <v>0</v>
      </c>
      <c r="L27" s="8"/>
      <c r="M27" s="8"/>
      <c r="N27" s="8">
        <v>3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40">
        <f t="shared" si="0"/>
        <v>215520041</v>
      </c>
      <c r="V27" s="40">
        <f t="shared" si="1"/>
        <v>48899434</v>
      </c>
      <c r="W27" s="40">
        <f t="shared" si="2"/>
        <v>13760376</v>
      </c>
      <c r="X27" s="43">
        <f t="shared" si="3"/>
        <v>278179851</v>
      </c>
    </row>
    <row r="28" spans="1:24" ht="15.75" x14ac:dyDescent="0.3">
      <c r="A28" s="7">
        <v>7001</v>
      </c>
      <c r="B28" s="20" t="s">
        <v>222</v>
      </c>
      <c r="C28" s="7" t="s">
        <v>61</v>
      </c>
      <c r="D28" s="8">
        <v>424365477</v>
      </c>
      <c r="E28" s="8">
        <v>135737408</v>
      </c>
      <c r="F28" s="8">
        <v>2400670</v>
      </c>
      <c r="G28" s="8">
        <v>5638674</v>
      </c>
      <c r="H28" s="8">
        <v>107308445</v>
      </c>
      <c r="I28" s="8">
        <v>2286585</v>
      </c>
      <c r="J28" s="8">
        <v>0</v>
      </c>
      <c r="K28" s="8">
        <v>0</v>
      </c>
      <c r="L28" s="8"/>
      <c r="M28" s="8"/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40">
        <f t="shared" si="0"/>
        <v>424365477</v>
      </c>
      <c r="V28" s="40">
        <f t="shared" si="1"/>
        <v>135737408</v>
      </c>
      <c r="W28" s="40">
        <f t="shared" si="2"/>
        <v>109595030</v>
      </c>
      <c r="X28" s="43">
        <f t="shared" si="3"/>
        <v>669697915</v>
      </c>
    </row>
    <row r="29" spans="1:24" ht="15.75" x14ac:dyDescent="0.3">
      <c r="A29" s="7">
        <v>39001</v>
      </c>
      <c r="B29" s="20" t="s">
        <v>376</v>
      </c>
      <c r="C29" s="7" t="s">
        <v>62</v>
      </c>
      <c r="D29" s="8">
        <v>176059129</v>
      </c>
      <c r="E29" s="8">
        <v>109098138</v>
      </c>
      <c r="F29" s="8">
        <v>889905</v>
      </c>
      <c r="G29" s="8">
        <v>1048168</v>
      </c>
      <c r="H29" s="8">
        <v>63279930</v>
      </c>
      <c r="I29" s="8">
        <v>4273970</v>
      </c>
      <c r="J29" s="8">
        <v>17</v>
      </c>
      <c r="K29" s="8">
        <v>0</v>
      </c>
      <c r="L29" s="8"/>
      <c r="M29" s="8"/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40">
        <f t="shared" si="0"/>
        <v>176059146</v>
      </c>
      <c r="V29" s="40">
        <f t="shared" si="1"/>
        <v>109098138</v>
      </c>
      <c r="W29" s="40">
        <f t="shared" si="2"/>
        <v>67553900</v>
      </c>
      <c r="X29" s="43">
        <f t="shared" si="3"/>
        <v>352711184</v>
      </c>
    </row>
    <row r="30" spans="1:24" ht="15.75" x14ac:dyDescent="0.3">
      <c r="A30" s="7">
        <v>12002</v>
      </c>
      <c r="B30" s="20" t="s">
        <v>224</v>
      </c>
      <c r="C30" s="7" t="s">
        <v>63</v>
      </c>
      <c r="D30" s="8">
        <v>625811664</v>
      </c>
      <c r="E30" s="8">
        <v>48714857</v>
      </c>
      <c r="F30" s="8">
        <v>256041</v>
      </c>
      <c r="G30" s="8">
        <v>1772547</v>
      </c>
      <c r="H30" s="8">
        <v>24896707</v>
      </c>
      <c r="I30" s="8">
        <v>53408584</v>
      </c>
      <c r="J30" s="8">
        <v>0</v>
      </c>
      <c r="K30" s="8">
        <v>0</v>
      </c>
      <c r="L30" s="8"/>
      <c r="M30" s="8"/>
      <c r="N30" s="8">
        <v>1</v>
      </c>
      <c r="O30" s="8">
        <v>0</v>
      </c>
      <c r="P30" s="8">
        <v>290606</v>
      </c>
      <c r="Q30" s="8">
        <v>0</v>
      </c>
      <c r="R30" s="8">
        <v>0</v>
      </c>
      <c r="S30" s="8">
        <v>15677</v>
      </c>
      <c r="T30" s="8">
        <v>0</v>
      </c>
      <c r="U30" s="40">
        <f t="shared" si="0"/>
        <v>625811664</v>
      </c>
      <c r="V30" s="40">
        <f t="shared" si="1"/>
        <v>49005463</v>
      </c>
      <c r="W30" s="40">
        <f t="shared" si="2"/>
        <v>78320969</v>
      </c>
      <c r="X30" s="43">
        <f t="shared" si="3"/>
        <v>753138096</v>
      </c>
    </row>
    <row r="31" spans="1:24" ht="15.75" x14ac:dyDescent="0.3">
      <c r="A31" s="7">
        <v>50005</v>
      </c>
      <c r="B31" s="20" t="s">
        <v>225</v>
      </c>
      <c r="C31" s="7" t="s">
        <v>64</v>
      </c>
      <c r="D31" s="8">
        <v>194738277</v>
      </c>
      <c r="E31" s="8">
        <v>52711489</v>
      </c>
      <c r="F31" s="8">
        <v>122842</v>
      </c>
      <c r="G31" s="8">
        <v>1009079</v>
      </c>
      <c r="H31" s="8">
        <v>16654221</v>
      </c>
      <c r="I31" s="8">
        <v>981511</v>
      </c>
      <c r="J31" s="8">
        <v>35633</v>
      </c>
      <c r="K31" s="8">
        <v>0</v>
      </c>
      <c r="L31" s="8"/>
      <c r="M31" s="8"/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40">
        <f t="shared" si="0"/>
        <v>194773910</v>
      </c>
      <c r="V31" s="40">
        <f t="shared" si="1"/>
        <v>52711489</v>
      </c>
      <c r="W31" s="40">
        <f t="shared" si="2"/>
        <v>17635732</v>
      </c>
      <c r="X31" s="43">
        <f t="shared" si="3"/>
        <v>265121131</v>
      </c>
    </row>
    <row r="32" spans="1:24" ht="15.75" x14ac:dyDescent="0.3">
      <c r="A32" s="7">
        <v>59003</v>
      </c>
      <c r="B32" s="20" t="s">
        <v>226</v>
      </c>
      <c r="C32" s="7" t="s">
        <v>65</v>
      </c>
      <c r="D32" s="8">
        <v>291642789</v>
      </c>
      <c r="E32" s="8">
        <v>14859806</v>
      </c>
      <c r="F32" s="8">
        <v>422245</v>
      </c>
      <c r="G32" s="8">
        <v>2783427</v>
      </c>
      <c r="H32" s="8">
        <v>6212149</v>
      </c>
      <c r="I32" s="8">
        <v>443</v>
      </c>
      <c r="J32" s="8">
        <v>31994</v>
      </c>
      <c r="K32" s="8">
        <v>0</v>
      </c>
      <c r="L32" s="8"/>
      <c r="M32" s="8"/>
      <c r="N32" s="8">
        <v>21805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40">
        <f t="shared" si="0"/>
        <v>291674783</v>
      </c>
      <c r="V32" s="40">
        <f t="shared" si="1"/>
        <v>14859806</v>
      </c>
      <c r="W32" s="40">
        <f t="shared" si="2"/>
        <v>6234397</v>
      </c>
      <c r="X32" s="43">
        <f t="shared" si="3"/>
        <v>312768986</v>
      </c>
    </row>
    <row r="33" spans="1:24" ht="15.75" x14ac:dyDescent="0.3">
      <c r="A33" s="7">
        <v>21003</v>
      </c>
      <c r="B33" s="20" t="s">
        <v>227</v>
      </c>
      <c r="C33" s="7" t="s">
        <v>66</v>
      </c>
      <c r="D33" s="8">
        <v>424060474</v>
      </c>
      <c r="E33" s="8">
        <v>41944207</v>
      </c>
      <c r="F33" s="8">
        <v>259294</v>
      </c>
      <c r="G33" s="8">
        <v>704183</v>
      </c>
      <c r="H33" s="8">
        <v>22167219</v>
      </c>
      <c r="I33" s="8">
        <v>859987</v>
      </c>
      <c r="J33" s="8">
        <v>6</v>
      </c>
      <c r="K33" s="8">
        <v>0</v>
      </c>
      <c r="L33" s="8"/>
      <c r="M33" s="8"/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40">
        <f t="shared" si="0"/>
        <v>424060480</v>
      </c>
      <c r="V33" s="40">
        <f t="shared" si="1"/>
        <v>41944207</v>
      </c>
      <c r="W33" s="40">
        <f t="shared" si="2"/>
        <v>23027206</v>
      </c>
      <c r="X33" s="43">
        <f t="shared" si="3"/>
        <v>489031893</v>
      </c>
    </row>
    <row r="34" spans="1:24" ht="15.75" x14ac:dyDescent="0.3">
      <c r="A34" s="7">
        <v>16001</v>
      </c>
      <c r="B34" s="20" t="s">
        <v>228</v>
      </c>
      <c r="C34" s="7" t="s">
        <v>67</v>
      </c>
      <c r="D34" s="8">
        <v>125055822</v>
      </c>
      <c r="E34" s="8">
        <v>506366629</v>
      </c>
      <c r="F34" s="8">
        <v>8754189</v>
      </c>
      <c r="G34" s="8">
        <v>25131776</v>
      </c>
      <c r="H34" s="8">
        <v>321559854</v>
      </c>
      <c r="I34" s="420">
        <v>16115766</v>
      </c>
      <c r="J34" s="8">
        <v>0</v>
      </c>
      <c r="K34" s="8">
        <v>0</v>
      </c>
      <c r="L34" s="8"/>
      <c r="M34" s="8"/>
      <c r="N34" s="8">
        <v>0</v>
      </c>
      <c r="O34" s="8">
        <v>0</v>
      </c>
      <c r="P34" s="8">
        <v>148680</v>
      </c>
      <c r="Q34" s="8">
        <v>406853</v>
      </c>
      <c r="R34" s="8">
        <v>1484728</v>
      </c>
      <c r="S34" s="8">
        <v>6345051</v>
      </c>
      <c r="T34" s="8">
        <v>0</v>
      </c>
      <c r="U34" s="40">
        <f t="shared" si="0"/>
        <v>125055822</v>
      </c>
      <c r="V34" s="40">
        <f t="shared" si="1"/>
        <v>506515309</v>
      </c>
      <c r="W34" s="40">
        <f t="shared" si="2"/>
        <v>344020671</v>
      </c>
      <c r="X34" s="43">
        <f t="shared" si="3"/>
        <v>975591802</v>
      </c>
    </row>
    <row r="35" spans="1:24" ht="15.75" x14ac:dyDescent="0.3">
      <c r="A35" s="7">
        <v>61008</v>
      </c>
      <c r="B35" s="20" t="s">
        <v>229</v>
      </c>
      <c r="C35" s="7" t="s">
        <v>68</v>
      </c>
      <c r="D35" s="8">
        <v>23084211</v>
      </c>
      <c r="E35" s="8">
        <v>603416098</v>
      </c>
      <c r="F35" s="8">
        <v>1003679</v>
      </c>
      <c r="G35" s="8">
        <v>3510789</v>
      </c>
      <c r="H35" s="8">
        <v>259828588</v>
      </c>
      <c r="I35" s="8">
        <v>6548863</v>
      </c>
      <c r="J35" s="8">
        <v>0</v>
      </c>
      <c r="K35" s="8">
        <v>0</v>
      </c>
      <c r="L35" s="8"/>
      <c r="M35" s="8"/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40">
        <f t="shared" si="0"/>
        <v>23084211</v>
      </c>
      <c r="V35" s="40">
        <f t="shared" si="1"/>
        <v>603416098</v>
      </c>
      <c r="W35" s="40">
        <f t="shared" si="2"/>
        <v>266377452</v>
      </c>
      <c r="X35" s="43">
        <f t="shared" si="3"/>
        <v>892877761</v>
      </c>
    </row>
    <row r="36" spans="1:24" ht="15.75" x14ac:dyDescent="0.3">
      <c r="A36" s="7">
        <v>38002</v>
      </c>
      <c r="B36" s="20" t="s">
        <v>230</v>
      </c>
      <c r="C36" s="7" t="s">
        <v>69</v>
      </c>
      <c r="D36" s="8">
        <v>372408115</v>
      </c>
      <c r="E36" s="8">
        <v>61724484</v>
      </c>
      <c r="F36" s="8">
        <v>510463</v>
      </c>
      <c r="G36" s="8">
        <v>805011</v>
      </c>
      <c r="H36" s="8">
        <v>36353570</v>
      </c>
      <c r="I36" s="8">
        <v>14400580</v>
      </c>
      <c r="J36" s="8">
        <v>2</v>
      </c>
      <c r="K36" s="8">
        <v>0</v>
      </c>
      <c r="L36" s="8"/>
      <c r="M36" s="8"/>
      <c r="N36" s="8">
        <v>0</v>
      </c>
      <c r="O36" s="8">
        <v>0</v>
      </c>
      <c r="P36" s="8">
        <v>2578339</v>
      </c>
      <c r="Q36" s="8">
        <v>0</v>
      </c>
      <c r="R36" s="8">
        <v>0</v>
      </c>
      <c r="S36" s="8">
        <v>1155124</v>
      </c>
      <c r="T36" s="8">
        <v>0</v>
      </c>
      <c r="U36" s="40">
        <f t="shared" si="0"/>
        <v>372408117</v>
      </c>
      <c r="V36" s="40">
        <f t="shared" si="1"/>
        <v>64302823</v>
      </c>
      <c r="W36" s="40">
        <f t="shared" si="2"/>
        <v>51909274</v>
      </c>
      <c r="X36" s="43">
        <f t="shared" si="3"/>
        <v>488620214</v>
      </c>
    </row>
    <row r="37" spans="1:24" ht="15.75" x14ac:dyDescent="0.3">
      <c r="A37" s="7">
        <v>49003</v>
      </c>
      <c r="B37" s="20" t="s">
        <v>231</v>
      </c>
      <c r="C37" s="7" t="s">
        <v>70</v>
      </c>
      <c r="D37" s="8">
        <v>262926686</v>
      </c>
      <c r="E37" s="8">
        <v>302610346</v>
      </c>
      <c r="F37" s="8">
        <v>370708</v>
      </c>
      <c r="G37" s="8">
        <v>1216910</v>
      </c>
      <c r="H37" s="8">
        <v>77221007</v>
      </c>
      <c r="I37" s="8">
        <v>3436305</v>
      </c>
      <c r="J37" s="8">
        <v>0</v>
      </c>
      <c r="K37" s="8">
        <v>0</v>
      </c>
      <c r="L37" s="8"/>
      <c r="M37" s="8"/>
      <c r="N37" s="8">
        <v>836411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40">
        <f t="shared" si="0"/>
        <v>262926686</v>
      </c>
      <c r="V37" s="40">
        <f t="shared" si="1"/>
        <v>302610346</v>
      </c>
      <c r="W37" s="40">
        <f t="shared" si="2"/>
        <v>81493723</v>
      </c>
      <c r="X37" s="43">
        <f t="shared" si="3"/>
        <v>647030755</v>
      </c>
    </row>
    <row r="38" spans="1:24" ht="15.75" x14ac:dyDescent="0.3">
      <c r="A38" s="7">
        <v>5006</v>
      </c>
      <c r="B38" s="20" t="s">
        <v>375</v>
      </c>
      <c r="C38" s="7" t="s">
        <v>71</v>
      </c>
      <c r="D38" s="8">
        <v>324745424</v>
      </c>
      <c r="E38" s="8">
        <v>80241825</v>
      </c>
      <c r="F38" s="8">
        <v>839399</v>
      </c>
      <c r="G38" s="8">
        <v>1627485</v>
      </c>
      <c r="H38" s="8">
        <v>28501252</v>
      </c>
      <c r="I38" s="8">
        <v>20276663</v>
      </c>
      <c r="J38" s="8">
        <v>2</v>
      </c>
      <c r="K38" s="8">
        <v>0</v>
      </c>
      <c r="L38" s="8"/>
      <c r="M38" s="8"/>
      <c r="N38" s="8">
        <v>1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40">
        <f t="shared" si="0"/>
        <v>324745426</v>
      </c>
      <c r="V38" s="40">
        <f t="shared" si="1"/>
        <v>80241825</v>
      </c>
      <c r="W38" s="40">
        <f t="shared" si="2"/>
        <v>48777916</v>
      </c>
      <c r="X38" s="43">
        <f t="shared" si="3"/>
        <v>453765167</v>
      </c>
    </row>
    <row r="39" spans="1:24" ht="15.75" x14ac:dyDescent="0.3">
      <c r="A39" s="7">
        <v>19004</v>
      </c>
      <c r="B39" s="20" t="s">
        <v>233</v>
      </c>
      <c r="C39" s="7" t="s">
        <v>72</v>
      </c>
      <c r="D39" s="8">
        <v>469180042</v>
      </c>
      <c r="E39" s="8">
        <v>122784182</v>
      </c>
      <c r="F39" s="8">
        <v>1201597</v>
      </c>
      <c r="G39" s="8">
        <v>2040888</v>
      </c>
      <c r="H39" s="8">
        <v>70871905</v>
      </c>
      <c r="I39" s="8">
        <v>21847700</v>
      </c>
      <c r="J39" s="8">
        <v>1</v>
      </c>
      <c r="K39" s="8">
        <v>0</v>
      </c>
      <c r="L39" s="8"/>
      <c r="M39" s="8"/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40">
        <f t="shared" si="0"/>
        <v>469180043</v>
      </c>
      <c r="V39" s="40">
        <f t="shared" si="1"/>
        <v>122784182</v>
      </c>
      <c r="W39" s="40">
        <f t="shared" si="2"/>
        <v>92719605</v>
      </c>
      <c r="X39" s="43">
        <f t="shared" si="3"/>
        <v>684683830</v>
      </c>
    </row>
    <row r="40" spans="1:24" ht="15.75" x14ac:dyDescent="0.3">
      <c r="A40" s="7">
        <v>56002</v>
      </c>
      <c r="B40" s="20" t="s">
        <v>234</v>
      </c>
      <c r="C40" s="7" t="s">
        <v>73</v>
      </c>
      <c r="D40" s="8">
        <v>503878984</v>
      </c>
      <c r="E40" s="8">
        <v>18875216</v>
      </c>
      <c r="F40" s="8">
        <v>133338</v>
      </c>
      <c r="G40" s="8">
        <v>748295</v>
      </c>
      <c r="H40" s="8">
        <v>8259311</v>
      </c>
      <c r="I40" s="8">
        <v>6117861</v>
      </c>
      <c r="J40" s="8">
        <v>0</v>
      </c>
      <c r="K40" s="8">
        <v>0</v>
      </c>
      <c r="L40" s="8"/>
      <c r="M40" s="8"/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40">
        <f t="shared" si="0"/>
        <v>503878984</v>
      </c>
      <c r="V40" s="40">
        <f t="shared" si="1"/>
        <v>18875216</v>
      </c>
      <c r="W40" s="40">
        <f t="shared" si="2"/>
        <v>14377172</v>
      </c>
      <c r="X40" s="43">
        <f t="shared" si="3"/>
        <v>537131372</v>
      </c>
    </row>
    <row r="41" spans="1:24" ht="15.75" x14ac:dyDescent="0.3">
      <c r="A41" s="7">
        <v>51001</v>
      </c>
      <c r="B41" s="20" t="s">
        <v>235</v>
      </c>
      <c r="C41" s="7" t="s">
        <v>74</v>
      </c>
      <c r="D41" s="8">
        <v>32799769</v>
      </c>
      <c r="E41" s="8">
        <v>385659235</v>
      </c>
      <c r="F41" s="8">
        <v>5546254</v>
      </c>
      <c r="G41" s="8">
        <v>12211887</v>
      </c>
      <c r="H41" s="8">
        <v>124558377</v>
      </c>
      <c r="I41" s="8">
        <v>2356734</v>
      </c>
      <c r="J41" s="8">
        <v>201313</v>
      </c>
      <c r="K41" s="8">
        <v>0</v>
      </c>
      <c r="L41" s="8"/>
      <c r="M41" s="8"/>
      <c r="N41" s="8">
        <v>511945</v>
      </c>
      <c r="O41" s="8">
        <v>172011</v>
      </c>
      <c r="P41" s="8">
        <v>21954523</v>
      </c>
      <c r="Q41" s="8">
        <v>0</v>
      </c>
      <c r="R41" s="8">
        <v>0</v>
      </c>
      <c r="S41" s="8">
        <v>57547865</v>
      </c>
      <c r="T41" s="8">
        <v>0</v>
      </c>
      <c r="U41" s="40">
        <f t="shared" si="0"/>
        <v>33173093</v>
      </c>
      <c r="V41" s="40">
        <f t="shared" si="1"/>
        <v>407613758</v>
      </c>
      <c r="W41" s="40">
        <f t="shared" si="2"/>
        <v>184974921</v>
      </c>
      <c r="X41" s="43">
        <f t="shared" si="3"/>
        <v>625761772</v>
      </c>
    </row>
    <row r="42" spans="1:24" ht="15.75" x14ac:dyDescent="0.3">
      <c r="A42" s="7">
        <v>64002</v>
      </c>
      <c r="B42" s="20" t="s">
        <v>236</v>
      </c>
      <c r="C42" s="7" t="s">
        <v>75</v>
      </c>
      <c r="D42" s="8">
        <v>210360381</v>
      </c>
      <c r="E42" s="8">
        <v>2642042</v>
      </c>
      <c r="F42" s="8">
        <v>295538</v>
      </c>
      <c r="G42" s="8">
        <v>1320654</v>
      </c>
      <c r="H42" s="8">
        <v>3185201</v>
      </c>
      <c r="I42" s="8">
        <v>0</v>
      </c>
      <c r="J42" s="8">
        <v>0</v>
      </c>
      <c r="K42" s="8">
        <v>0</v>
      </c>
      <c r="L42" s="8"/>
      <c r="M42" s="8"/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40">
        <f t="shared" si="0"/>
        <v>210360381</v>
      </c>
      <c r="V42" s="40">
        <f t="shared" si="1"/>
        <v>2642042</v>
      </c>
      <c r="W42" s="40">
        <f t="shared" si="2"/>
        <v>3185201</v>
      </c>
      <c r="X42" s="43">
        <f t="shared" si="3"/>
        <v>216187624</v>
      </c>
    </row>
    <row r="43" spans="1:24" ht="15.75" x14ac:dyDescent="0.3">
      <c r="A43" s="7">
        <v>20001</v>
      </c>
      <c r="B43" s="20" t="s">
        <v>237</v>
      </c>
      <c r="C43" s="7" t="s">
        <v>76</v>
      </c>
      <c r="D43" s="8">
        <v>173801690</v>
      </c>
      <c r="E43" s="8">
        <v>6760901</v>
      </c>
      <c r="F43" s="8">
        <v>347472</v>
      </c>
      <c r="G43" s="8">
        <v>806178</v>
      </c>
      <c r="H43" s="8">
        <v>20949025</v>
      </c>
      <c r="I43" s="8">
        <v>2919</v>
      </c>
      <c r="J43" s="8">
        <v>0</v>
      </c>
      <c r="K43" s="8">
        <v>0</v>
      </c>
      <c r="L43" s="8"/>
      <c r="M43" s="8"/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40">
        <f t="shared" si="0"/>
        <v>173801690</v>
      </c>
      <c r="V43" s="40">
        <f t="shared" si="1"/>
        <v>6760901</v>
      </c>
      <c r="W43" s="40">
        <f t="shared" si="2"/>
        <v>20951944</v>
      </c>
      <c r="X43" s="43">
        <f t="shared" si="3"/>
        <v>201514535</v>
      </c>
    </row>
    <row r="44" spans="1:24" ht="15.75" x14ac:dyDescent="0.3">
      <c r="A44" s="7">
        <v>23001</v>
      </c>
      <c r="B44" s="20" t="s">
        <v>238</v>
      </c>
      <c r="C44" s="7" t="s">
        <v>77</v>
      </c>
      <c r="D44" s="8">
        <v>47634910</v>
      </c>
      <c r="E44" s="8">
        <v>20393450</v>
      </c>
      <c r="F44" s="8">
        <v>696380</v>
      </c>
      <c r="G44" s="8">
        <v>1423790</v>
      </c>
      <c r="H44" s="8">
        <v>16336470</v>
      </c>
      <c r="I44" s="8">
        <v>60181895</v>
      </c>
      <c r="J44" s="8">
        <v>263252</v>
      </c>
      <c r="K44" s="8">
        <v>0</v>
      </c>
      <c r="L44" s="8"/>
      <c r="M44" s="8"/>
      <c r="N44" s="8">
        <v>118486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40">
        <f t="shared" si="0"/>
        <v>47898162</v>
      </c>
      <c r="V44" s="40">
        <f t="shared" si="1"/>
        <v>20393450</v>
      </c>
      <c r="W44" s="40">
        <f t="shared" si="2"/>
        <v>76636851</v>
      </c>
      <c r="X44" s="43">
        <f t="shared" si="3"/>
        <v>144928463</v>
      </c>
    </row>
    <row r="45" spans="1:24" ht="15.75" x14ac:dyDescent="0.3">
      <c r="A45" s="7">
        <v>22005</v>
      </c>
      <c r="B45" s="20" t="s">
        <v>239</v>
      </c>
      <c r="C45" s="7" t="s">
        <v>78</v>
      </c>
      <c r="D45" s="8">
        <v>479960611</v>
      </c>
      <c r="E45" s="8">
        <v>15890800</v>
      </c>
      <c r="F45" s="8">
        <v>361893</v>
      </c>
      <c r="G45" s="8">
        <v>975426</v>
      </c>
      <c r="H45" s="8">
        <v>16034781</v>
      </c>
      <c r="I45" s="8">
        <v>34877533</v>
      </c>
      <c r="J45" s="8">
        <v>2</v>
      </c>
      <c r="K45" s="8">
        <v>0</v>
      </c>
      <c r="L45" s="8"/>
      <c r="M45" s="8"/>
      <c r="N45" s="8">
        <v>1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40">
        <f t="shared" si="0"/>
        <v>479960613</v>
      </c>
      <c r="V45" s="40">
        <f t="shared" si="1"/>
        <v>15890800</v>
      </c>
      <c r="W45" s="40">
        <f t="shared" si="2"/>
        <v>50912315</v>
      </c>
      <c r="X45" s="43">
        <f t="shared" si="3"/>
        <v>546763728</v>
      </c>
    </row>
    <row r="46" spans="1:24" ht="15.75" x14ac:dyDescent="0.3">
      <c r="A46" s="7">
        <v>16002</v>
      </c>
      <c r="B46" s="20" t="s">
        <v>240</v>
      </c>
      <c r="C46" s="7" t="s">
        <v>79</v>
      </c>
      <c r="D46" s="8">
        <v>13541536</v>
      </c>
      <c r="E46" s="8">
        <v>12631039</v>
      </c>
      <c r="F46" s="8">
        <v>495671</v>
      </c>
      <c r="G46" s="8">
        <v>1488325</v>
      </c>
      <c r="H46" s="8">
        <v>12215654</v>
      </c>
      <c r="I46" s="420">
        <v>8043433</v>
      </c>
      <c r="J46" s="8">
        <v>0</v>
      </c>
      <c r="K46" s="8">
        <v>0</v>
      </c>
      <c r="L46" s="8"/>
      <c r="M46" s="8"/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40">
        <f t="shared" si="0"/>
        <v>13541536</v>
      </c>
      <c r="V46" s="40">
        <f t="shared" si="1"/>
        <v>12631039</v>
      </c>
      <c r="W46" s="40">
        <f t="shared" si="2"/>
        <v>20259087</v>
      </c>
      <c r="X46" s="43">
        <f t="shared" si="3"/>
        <v>46431662</v>
      </c>
    </row>
    <row r="47" spans="1:24" ht="15.75" x14ac:dyDescent="0.3">
      <c r="A47" s="7">
        <v>61007</v>
      </c>
      <c r="B47" s="20" t="s">
        <v>241</v>
      </c>
      <c r="C47" s="7" t="s">
        <v>80</v>
      </c>
      <c r="D47" s="8">
        <v>323643215</v>
      </c>
      <c r="E47" s="8">
        <v>178158688</v>
      </c>
      <c r="F47" s="8">
        <v>251956</v>
      </c>
      <c r="G47" s="8">
        <v>479557</v>
      </c>
      <c r="H47" s="8">
        <v>50519696</v>
      </c>
      <c r="I47" s="8">
        <v>2677074</v>
      </c>
      <c r="J47" s="8">
        <v>0</v>
      </c>
      <c r="K47" s="8">
        <v>0</v>
      </c>
      <c r="L47" s="8"/>
      <c r="M47" s="8"/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40">
        <f t="shared" si="0"/>
        <v>323643215</v>
      </c>
      <c r="V47" s="40">
        <f t="shared" si="1"/>
        <v>178158688</v>
      </c>
      <c r="W47" s="40">
        <f t="shared" si="2"/>
        <v>53196770</v>
      </c>
      <c r="X47" s="43">
        <f t="shared" si="3"/>
        <v>554998673</v>
      </c>
    </row>
    <row r="48" spans="1:24" ht="15.75" x14ac:dyDescent="0.3">
      <c r="A48" s="7">
        <v>5003</v>
      </c>
      <c r="B48" s="20" t="s">
        <v>242</v>
      </c>
      <c r="C48" s="7" t="s">
        <v>81</v>
      </c>
      <c r="D48" s="8">
        <v>225941446</v>
      </c>
      <c r="E48" s="8">
        <v>47027251</v>
      </c>
      <c r="F48" s="8">
        <v>389620</v>
      </c>
      <c r="G48" s="8">
        <v>776940</v>
      </c>
      <c r="H48" s="8">
        <v>15631834</v>
      </c>
      <c r="I48" s="8">
        <v>165781072</v>
      </c>
      <c r="J48" s="8">
        <v>0</v>
      </c>
      <c r="K48" s="8">
        <v>0</v>
      </c>
      <c r="L48" s="8"/>
      <c r="M48" s="8"/>
      <c r="N48" s="8">
        <v>0</v>
      </c>
      <c r="O48" s="8">
        <v>0</v>
      </c>
      <c r="P48" s="8">
        <v>393970</v>
      </c>
      <c r="Q48" s="8">
        <v>0</v>
      </c>
      <c r="R48" s="8">
        <v>0</v>
      </c>
      <c r="S48" s="8">
        <v>1687435</v>
      </c>
      <c r="T48" s="8">
        <v>0</v>
      </c>
      <c r="U48" s="40">
        <f t="shared" si="0"/>
        <v>225941446</v>
      </c>
      <c r="V48" s="40">
        <f t="shared" si="1"/>
        <v>47421221</v>
      </c>
      <c r="W48" s="40">
        <f t="shared" si="2"/>
        <v>183100341</v>
      </c>
      <c r="X48" s="43">
        <f t="shared" si="3"/>
        <v>456463008</v>
      </c>
    </row>
    <row r="49" spans="1:24" ht="15.75" x14ac:dyDescent="0.3">
      <c r="A49" s="7">
        <v>28002</v>
      </c>
      <c r="B49" s="20" t="s">
        <v>243</v>
      </c>
      <c r="C49" s="7" t="s">
        <v>82</v>
      </c>
      <c r="D49" s="8">
        <v>215037218</v>
      </c>
      <c r="E49" s="8">
        <v>62907465</v>
      </c>
      <c r="F49" s="8">
        <v>692209</v>
      </c>
      <c r="G49" s="8">
        <v>767376</v>
      </c>
      <c r="H49" s="8">
        <v>56956778</v>
      </c>
      <c r="I49" s="8">
        <v>14124074</v>
      </c>
      <c r="J49" s="8">
        <v>3</v>
      </c>
      <c r="K49" s="8">
        <v>0</v>
      </c>
      <c r="L49" s="8"/>
      <c r="M49" s="8"/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40">
        <f t="shared" si="0"/>
        <v>215037221</v>
      </c>
      <c r="V49" s="40">
        <f t="shared" si="1"/>
        <v>62907465</v>
      </c>
      <c r="W49" s="40">
        <f t="shared" si="2"/>
        <v>71080852</v>
      </c>
      <c r="X49" s="43">
        <f t="shared" si="3"/>
        <v>349025538</v>
      </c>
    </row>
    <row r="50" spans="1:24" ht="15.75" x14ac:dyDescent="0.3">
      <c r="A50" s="7">
        <v>17001</v>
      </c>
      <c r="B50" s="20" t="s">
        <v>244</v>
      </c>
      <c r="C50" s="7" t="s">
        <v>83</v>
      </c>
      <c r="D50" s="8">
        <v>123188431</v>
      </c>
      <c r="E50" s="8">
        <v>27530439</v>
      </c>
      <c r="F50" s="8">
        <v>69697</v>
      </c>
      <c r="G50" s="8">
        <v>518420</v>
      </c>
      <c r="H50" s="8">
        <v>7136266</v>
      </c>
      <c r="I50" s="8">
        <v>754134</v>
      </c>
      <c r="J50" s="8">
        <v>2</v>
      </c>
      <c r="K50" s="8">
        <v>0</v>
      </c>
      <c r="L50" s="8"/>
      <c r="M50" s="8"/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40">
        <f t="shared" si="0"/>
        <v>123188433</v>
      </c>
      <c r="V50" s="40">
        <f t="shared" si="1"/>
        <v>27530439</v>
      </c>
      <c r="W50" s="40">
        <f t="shared" si="2"/>
        <v>7890400</v>
      </c>
      <c r="X50" s="43">
        <f t="shared" si="3"/>
        <v>158609272</v>
      </c>
    </row>
    <row r="51" spans="1:24" ht="15.75" x14ac:dyDescent="0.3">
      <c r="A51" s="7">
        <v>44001</v>
      </c>
      <c r="B51" s="20" t="s">
        <v>245</v>
      </c>
      <c r="C51" s="7" t="s">
        <v>84</v>
      </c>
      <c r="D51" s="8">
        <v>417948168</v>
      </c>
      <c r="E51" s="8">
        <v>25775281</v>
      </c>
      <c r="F51" s="8">
        <v>140043</v>
      </c>
      <c r="G51" s="8">
        <v>1854999</v>
      </c>
      <c r="H51" s="8">
        <v>9732453</v>
      </c>
      <c r="I51" s="8">
        <v>27736174</v>
      </c>
      <c r="J51" s="8">
        <v>2</v>
      </c>
      <c r="K51" s="8">
        <v>0</v>
      </c>
      <c r="L51" s="8"/>
      <c r="M51" s="8"/>
      <c r="N51" s="8">
        <v>1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40">
        <f t="shared" si="0"/>
        <v>417948170</v>
      </c>
      <c r="V51" s="40">
        <f t="shared" si="1"/>
        <v>25775281</v>
      </c>
      <c r="W51" s="40">
        <f t="shared" si="2"/>
        <v>37468628</v>
      </c>
      <c r="X51" s="43">
        <f t="shared" si="3"/>
        <v>481192079</v>
      </c>
    </row>
    <row r="52" spans="1:24" ht="15.75" x14ac:dyDescent="0.3">
      <c r="A52" s="7">
        <v>46002</v>
      </c>
      <c r="B52" s="20" t="s">
        <v>246</v>
      </c>
      <c r="C52" s="7" t="s">
        <v>85</v>
      </c>
      <c r="D52" s="8">
        <v>111608473</v>
      </c>
      <c r="E52" s="8">
        <v>13484422</v>
      </c>
      <c r="F52" s="8">
        <v>832118</v>
      </c>
      <c r="G52" s="8">
        <v>2624168</v>
      </c>
      <c r="H52" s="8">
        <v>9189980</v>
      </c>
      <c r="I52" s="8">
        <v>447</v>
      </c>
      <c r="J52" s="8">
        <v>45498</v>
      </c>
      <c r="K52" s="8">
        <v>4</v>
      </c>
      <c r="L52" s="8"/>
      <c r="M52" s="8"/>
      <c r="N52" s="8">
        <v>235884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40">
        <f t="shared" si="0"/>
        <v>111653971</v>
      </c>
      <c r="V52" s="40">
        <f t="shared" si="1"/>
        <v>13484426</v>
      </c>
      <c r="W52" s="40">
        <f t="shared" si="2"/>
        <v>9426311</v>
      </c>
      <c r="X52" s="43">
        <f t="shared" si="3"/>
        <v>134564708</v>
      </c>
    </row>
    <row r="53" spans="1:24" ht="15.75" x14ac:dyDescent="0.3">
      <c r="A53" s="7">
        <v>24004</v>
      </c>
      <c r="B53" s="20" t="s">
        <v>374</v>
      </c>
      <c r="C53" s="7" t="s">
        <v>86</v>
      </c>
      <c r="D53" s="8">
        <v>905384934</v>
      </c>
      <c r="E53" s="8">
        <v>34366777</v>
      </c>
      <c r="F53" s="8">
        <v>459494</v>
      </c>
      <c r="G53" s="8">
        <v>1168094</v>
      </c>
      <c r="H53" s="8">
        <v>17981877</v>
      </c>
      <c r="I53" s="8">
        <v>15781948</v>
      </c>
      <c r="J53" s="8">
        <v>2</v>
      </c>
      <c r="K53" s="8">
        <v>0</v>
      </c>
      <c r="L53" s="8"/>
      <c r="M53" s="8"/>
      <c r="N53" s="8">
        <v>1</v>
      </c>
      <c r="O53" s="8">
        <v>8585</v>
      </c>
      <c r="P53" s="8">
        <v>251766</v>
      </c>
      <c r="Q53" s="8">
        <v>0</v>
      </c>
      <c r="R53" s="8">
        <v>0</v>
      </c>
      <c r="S53" s="8">
        <v>175549</v>
      </c>
      <c r="T53" s="8">
        <v>0</v>
      </c>
      <c r="U53" s="40">
        <f t="shared" si="0"/>
        <v>905393521</v>
      </c>
      <c r="V53" s="40">
        <f t="shared" si="1"/>
        <v>34618543</v>
      </c>
      <c r="W53" s="40">
        <f t="shared" si="2"/>
        <v>33939375</v>
      </c>
      <c r="X53" s="43">
        <f t="shared" si="3"/>
        <v>973951439</v>
      </c>
    </row>
    <row r="54" spans="1:24" ht="15.75" x14ac:dyDescent="0.3">
      <c r="A54" s="7">
        <v>50003</v>
      </c>
      <c r="B54" s="20" t="s">
        <v>248</v>
      </c>
      <c r="C54" s="7" t="s">
        <v>87</v>
      </c>
      <c r="D54" s="8">
        <v>404328557</v>
      </c>
      <c r="E54" s="8">
        <v>100481314</v>
      </c>
      <c r="F54" s="8">
        <v>296797</v>
      </c>
      <c r="G54" s="8">
        <v>1321035</v>
      </c>
      <c r="H54" s="8">
        <v>28509743</v>
      </c>
      <c r="I54" s="8">
        <v>2115717</v>
      </c>
      <c r="J54" s="8">
        <v>17390</v>
      </c>
      <c r="K54" s="8">
        <v>0</v>
      </c>
      <c r="L54" s="8"/>
      <c r="M54" s="8"/>
      <c r="N54" s="8">
        <v>0</v>
      </c>
      <c r="O54" s="8">
        <v>0</v>
      </c>
      <c r="P54" s="8">
        <v>51371</v>
      </c>
      <c r="Q54" s="8">
        <v>0</v>
      </c>
      <c r="R54" s="8">
        <v>0</v>
      </c>
      <c r="S54" s="8">
        <v>2448328</v>
      </c>
      <c r="T54" s="8">
        <v>0</v>
      </c>
      <c r="U54" s="40">
        <f t="shared" si="0"/>
        <v>404345947</v>
      </c>
      <c r="V54" s="40">
        <f t="shared" si="1"/>
        <v>100532685</v>
      </c>
      <c r="W54" s="40">
        <f t="shared" si="2"/>
        <v>33073788</v>
      </c>
      <c r="X54" s="43">
        <f t="shared" si="3"/>
        <v>537952420</v>
      </c>
    </row>
    <row r="55" spans="1:24" ht="15.75" x14ac:dyDescent="0.3">
      <c r="A55" s="7">
        <v>14001</v>
      </c>
      <c r="B55" s="20" t="s">
        <v>249</v>
      </c>
      <c r="C55" s="7" t="s">
        <v>88</v>
      </c>
      <c r="D55" s="8">
        <v>122408278</v>
      </c>
      <c r="E55" s="8">
        <v>21333290</v>
      </c>
      <c r="F55" s="8">
        <v>239994</v>
      </c>
      <c r="G55" s="8">
        <v>1227013</v>
      </c>
      <c r="H55" s="8">
        <v>5115529</v>
      </c>
      <c r="I55" s="8">
        <v>254967</v>
      </c>
      <c r="J55" s="8">
        <v>1</v>
      </c>
      <c r="K55" s="8">
        <v>0</v>
      </c>
      <c r="L55" s="8"/>
      <c r="M55" s="8"/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40">
        <f t="shared" si="0"/>
        <v>122408279</v>
      </c>
      <c r="V55" s="40">
        <f t="shared" si="1"/>
        <v>21333290</v>
      </c>
      <c r="W55" s="40">
        <f t="shared" si="2"/>
        <v>5370496</v>
      </c>
      <c r="X55" s="43">
        <f t="shared" si="3"/>
        <v>149112065</v>
      </c>
    </row>
    <row r="56" spans="1:24" ht="15.75" x14ac:dyDescent="0.3">
      <c r="A56" s="7">
        <v>6002</v>
      </c>
      <c r="B56" s="20" t="s">
        <v>250</v>
      </c>
      <c r="C56" s="7" t="s">
        <v>89</v>
      </c>
      <c r="D56" s="8">
        <v>295729890</v>
      </c>
      <c r="E56" s="8">
        <v>22794167</v>
      </c>
      <c r="F56" s="8">
        <v>184157</v>
      </c>
      <c r="G56" s="8">
        <v>739180</v>
      </c>
      <c r="H56" s="8">
        <v>11448484</v>
      </c>
      <c r="I56" s="8">
        <v>8000415</v>
      </c>
      <c r="J56" s="8">
        <v>1</v>
      </c>
      <c r="K56" s="8">
        <v>0</v>
      </c>
      <c r="L56" s="8"/>
      <c r="M56" s="8"/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40">
        <f t="shared" si="0"/>
        <v>295729891</v>
      </c>
      <c r="V56" s="40">
        <f t="shared" si="1"/>
        <v>22794167</v>
      </c>
      <c r="W56" s="40">
        <f t="shared" si="2"/>
        <v>19448899</v>
      </c>
      <c r="X56" s="43">
        <f t="shared" si="3"/>
        <v>337972957</v>
      </c>
    </row>
    <row r="57" spans="1:24" ht="15.75" x14ac:dyDescent="0.3">
      <c r="A57" s="7">
        <v>33001</v>
      </c>
      <c r="B57" s="20" t="s">
        <v>251</v>
      </c>
      <c r="C57" s="7" t="s">
        <v>90</v>
      </c>
      <c r="D57" s="8">
        <v>337761154</v>
      </c>
      <c r="E57" s="8">
        <v>70536386</v>
      </c>
      <c r="F57" s="8">
        <v>132173</v>
      </c>
      <c r="G57" s="8">
        <v>643767</v>
      </c>
      <c r="H57" s="8">
        <v>24723094</v>
      </c>
      <c r="I57" s="8">
        <v>17619660</v>
      </c>
      <c r="J57" s="8">
        <v>5</v>
      </c>
      <c r="K57" s="8">
        <v>0</v>
      </c>
      <c r="L57" s="8"/>
      <c r="M57" s="8"/>
      <c r="N57" s="8">
        <v>2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40">
        <f t="shared" si="0"/>
        <v>337761159</v>
      </c>
      <c r="V57" s="40">
        <f t="shared" si="1"/>
        <v>70536386</v>
      </c>
      <c r="W57" s="40">
        <f t="shared" si="2"/>
        <v>42342756</v>
      </c>
      <c r="X57" s="43">
        <f t="shared" si="3"/>
        <v>450640301</v>
      </c>
    </row>
    <row r="58" spans="1:24" ht="15.75" x14ac:dyDescent="0.3">
      <c r="A58" s="7">
        <v>49004</v>
      </c>
      <c r="B58" s="20" t="s">
        <v>252</v>
      </c>
      <c r="C58" s="7" t="s">
        <v>91</v>
      </c>
      <c r="D58" s="8">
        <v>137516876</v>
      </c>
      <c r="E58" s="8">
        <v>138554971</v>
      </c>
      <c r="F58" s="8">
        <v>508988</v>
      </c>
      <c r="G58" s="8">
        <v>1443057</v>
      </c>
      <c r="H58" s="8">
        <v>26069117</v>
      </c>
      <c r="I58" s="8">
        <v>7093816</v>
      </c>
      <c r="J58" s="8">
        <v>0</v>
      </c>
      <c r="K58" s="8">
        <v>0</v>
      </c>
      <c r="L58" s="8"/>
      <c r="M58" s="8"/>
      <c r="N58" s="8">
        <v>92896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40">
        <f t="shared" si="0"/>
        <v>137516876</v>
      </c>
      <c r="V58" s="40">
        <f t="shared" si="1"/>
        <v>138554971</v>
      </c>
      <c r="W58" s="40">
        <f t="shared" si="2"/>
        <v>33255829</v>
      </c>
      <c r="X58" s="43">
        <f t="shared" si="3"/>
        <v>309327676</v>
      </c>
    </row>
    <row r="59" spans="1:24" ht="15.75" x14ac:dyDescent="0.3">
      <c r="A59" s="7">
        <v>63001</v>
      </c>
      <c r="B59" s="20" t="s">
        <v>253</v>
      </c>
      <c r="C59" s="7" t="s">
        <v>92</v>
      </c>
      <c r="D59" s="8">
        <v>111533071</v>
      </c>
      <c r="E59" s="8">
        <v>28005013</v>
      </c>
      <c r="F59" s="8">
        <v>92571</v>
      </c>
      <c r="G59" s="8">
        <v>1115351</v>
      </c>
      <c r="H59" s="8">
        <v>6926754</v>
      </c>
      <c r="I59" s="8">
        <v>539987</v>
      </c>
      <c r="J59" s="8">
        <v>0</v>
      </c>
      <c r="K59" s="8">
        <v>0</v>
      </c>
      <c r="L59" s="8"/>
      <c r="M59" s="8"/>
      <c r="N59" s="8">
        <v>1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40">
        <f t="shared" si="0"/>
        <v>111533071</v>
      </c>
      <c r="V59" s="40">
        <f t="shared" si="1"/>
        <v>28005013</v>
      </c>
      <c r="W59" s="40">
        <f t="shared" si="2"/>
        <v>7466742</v>
      </c>
      <c r="X59" s="43">
        <f t="shared" si="3"/>
        <v>147004826</v>
      </c>
    </row>
    <row r="60" spans="1:24" ht="15.75" x14ac:dyDescent="0.3">
      <c r="A60" s="7">
        <v>53001</v>
      </c>
      <c r="B60" s="20" t="s">
        <v>254</v>
      </c>
      <c r="C60" s="7" t="s">
        <v>93</v>
      </c>
      <c r="D60" s="8">
        <v>243787577</v>
      </c>
      <c r="E60" s="8">
        <v>42672623</v>
      </c>
      <c r="F60" s="8">
        <v>1373183</v>
      </c>
      <c r="G60" s="8">
        <v>1781224</v>
      </c>
      <c r="H60" s="8">
        <v>29409519</v>
      </c>
      <c r="I60" s="8">
        <v>870596</v>
      </c>
      <c r="J60" s="8">
        <v>0</v>
      </c>
      <c r="K60" s="8">
        <v>0</v>
      </c>
      <c r="L60" s="8"/>
      <c r="M60" s="8"/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40">
        <f t="shared" si="0"/>
        <v>243787577</v>
      </c>
      <c r="V60" s="40">
        <f t="shared" si="1"/>
        <v>42672623</v>
      </c>
      <c r="W60" s="40">
        <f t="shared" si="2"/>
        <v>30280115</v>
      </c>
      <c r="X60" s="43">
        <f t="shared" si="3"/>
        <v>316740315</v>
      </c>
    </row>
    <row r="61" spans="1:24" ht="15.75" x14ac:dyDescent="0.3">
      <c r="A61" s="7">
        <v>26004</v>
      </c>
      <c r="B61" s="20" t="s">
        <v>255</v>
      </c>
      <c r="C61" s="7" t="s">
        <v>94</v>
      </c>
      <c r="D61" s="8">
        <v>266578090</v>
      </c>
      <c r="E61" s="8">
        <v>51240471</v>
      </c>
      <c r="F61" s="8">
        <v>1061799</v>
      </c>
      <c r="G61" s="8">
        <v>2576707</v>
      </c>
      <c r="H61" s="8">
        <v>33777145</v>
      </c>
      <c r="I61" s="8">
        <v>457</v>
      </c>
      <c r="J61" s="8">
        <v>0</v>
      </c>
      <c r="K61" s="8">
        <v>33966</v>
      </c>
      <c r="L61" s="8"/>
      <c r="M61" s="8"/>
      <c r="N61" s="8">
        <v>323892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40">
        <f t="shared" si="0"/>
        <v>266578090</v>
      </c>
      <c r="V61" s="40">
        <f t="shared" si="1"/>
        <v>51274437</v>
      </c>
      <c r="W61" s="40">
        <f t="shared" si="2"/>
        <v>34101494</v>
      </c>
      <c r="X61" s="43">
        <f t="shared" si="3"/>
        <v>351954021</v>
      </c>
    </row>
    <row r="62" spans="1:24" ht="15.75" x14ac:dyDescent="0.3">
      <c r="A62" s="7">
        <v>6006</v>
      </c>
      <c r="B62" s="20" t="s">
        <v>256</v>
      </c>
      <c r="C62" s="7" t="s">
        <v>95</v>
      </c>
      <c r="D62" s="8">
        <v>935109232</v>
      </c>
      <c r="E62" s="8">
        <v>114178822</v>
      </c>
      <c r="F62" s="8">
        <v>834293</v>
      </c>
      <c r="G62" s="8">
        <v>2851014</v>
      </c>
      <c r="H62" s="8">
        <v>51498855</v>
      </c>
      <c r="I62" s="8">
        <v>132236690</v>
      </c>
      <c r="J62" s="8">
        <v>2</v>
      </c>
      <c r="K62" s="8">
        <v>0</v>
      </c>
      <c r="L62" s="8"/>
      <c r="M62" s="8"/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40">
        <f t="shared" si="0"/>
        <v>935109234</v>
      </c>
      <c r="V62" s="40">
        <f t="shared" si="1"/>
        <v>114178822</v>
      </c>
      <c r="W62" s="40">
        <f t="shared" si="2"/>
        <v>183735545</v>
      </c>
      <c r="X62" s="43">
        <f t="shared" si="3"/>
        <v>1233023601</v>
      </c>
    </row>
    <row r="63" spans="1:24" ht="15.75" x14ac:dyDescent="0.3">
      <c r="A63" s="7">
        <v>27001</v>
      </c>
      <c r="B63" s="20" t="s">
        <v>257</v>
      </c>
      <c r="C63" s="7" t="s">
        <v>96</v>
      </c>
      <c r="D63" s="8">
        <v>434590927</v>
      </c>
      <c r="E63" s="8">
        <v>27185350</v>
      </c>
      <c r="F63" s="8">
        <v>1126255</v>
      </c>
      <c r="G63" s="8">
        <v>2011649</v>
      </c>
      <c r="H63" s="8">
        <v>27726361</v>
      </c>
      <c r="I63" s="8">
        <v>51428</v>
      </c>
      <c r="J63" s="8">
        <v>0</v>
      </c>
      <c r="K63" s="8">
        <v>0</v>
      </c>
      <c r="L63" s="8"/>
      <c r="M63" s="8"/>
      <c r="N63" s="8">
        <v>441238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40">
        <f t="shared" si="0"/>
        <v>434590927</v>
      </c>
      <c r="V63" s="40">
        <f t="shared" si="1"/>
        <v>27185350</v>
      </c>
      <c r="W63" s="40">
        <f t="shared" si="2"/>
        <v>28219027</v>
      </c>
      <c r="X63" s="43">
        <f t="shared" si="3"/>
        <v>489995304</v>
      </c>
    </row>
    <row r="64" spans="1:24" ht="15.75" x14ac:dyDescent="0.3">
      <c r="A64" s="7">
        <v>28003</v>
      </c>
      <c r="B64" s="20" t="s">
        <v>258</v>
      </c>
      <c r="C64" s="7" t="s">
        <v>97</v>
      </c>
      <c r="D64" s="8">
        <v>467717870</v>
      </c>
      <c r="E64" s="8">
        <v>135383254</v>
      </c>
      <c r="F64" s="8">
        <v>637460</v>
      </c>
      <c r="G64" s="8">
        <v>1837440</v>
      </c>
      <c r="H64" s="8">
        <v>84642233</v>
      </c>
      <c r="I64" s="8">
        <v>2563572</v>
      </c>
      <c r="J64" s="8">
        <v>0</v>
      </c>
      <c r="K64" s="8">
        <v>0</v>
      </c>
      <c r="L64" s="8"/>
      <c r="M64" s="8"/>
      <c r="N64" s="8">
        <v>11259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40">
        <f t="shared" si="0"/>
        <v>467717870</v>
      </c>
      <c r="V64" s="40">
        <f t="shared" si="1"/>
        <v>135383254</v>
      </c>
      <c r="W64" s="40">
        <f t="shared" si="2"/>
        <v>87217064</v>
      </c>
      <c r="X64" s="43">
        <f t="shared" si="3"/>
        <v>690318188</v>
      </c>
    </row>
    <row r="65" spans="1:24" ht="15.75" x14ac:dyDescent="0.3">
      <c r="A65" s="7">
        <v>30001</v>
      </c>
      <c r="B65" s="20" t="s">
        <v>259</v>
      </c>
      <c r="C65" s="7" t="s">
        <v>98</v>
      </c>
      <c r="D65" s="8">
        <v>305507488</v>
      </c>
      <c r="E65" s="8">
        <v>51409747</v>
      </c>
      <c r="F65" s="8">
        <v>171049</v>
      </c>
      <c r="G65" s="8">
        <v>1222899</v>
      </c>
      <c r="H65" s="8">
        <v>13677231</v>
      </c>
      <c r="I65" s="8">
        <v>14544552</v>
      </c>
      <c r="J65" s="8">
        <v>0</v>
      </c>
      <c r="K65" s="8">
        <v>0</v>
      </c>
      <c r="L65" s="8"/>
      <c r="M65" s="8"/>
      <c r="N65" s="8">
        <v>0</v>
      </c>
      <c r="O65" s="8">
        <v>0</v>
      </c>
      <c r="P65" s="8">
        <v>574646</v>
      </c>
      <c r="Q65" s="8">
        <v>0</v>
      </c>
      <c r="R65" s="8">
        <v>0</v>
      </c>
      <c r="S65" s="8">
        <v>78373</v>
      </c>
      <c r="T65" s="8">
        <v>0</v>
      </c>
      <c r="U65" s="40">
        <f t="shared" si="0"/>
        <v>305507488</v>
      </c>
      <c r="V65" s="40">
        <f t="shared" si="1"/>
        <v>51984393</v>
      </c>
      <c r="W65" s="40">
        <f t="shared" si="2"/>
        <v>28300156</v>
      </c>
      <c r="X65" s="43">
        <f t="shared" si="3"/>
        <v>385792037</v>
      </c>
    </row>
    <row r="66" spans="1:24" ht="15.75" x14ac:dyDescent="0.3">
      <c r="A66" s="7">
        <v>31001</v>
      </c>
      <c r="B66" s="20" t="s">
        <v>260</v>
      </c>
      <c r="C66" s="7" t="s">
        <v>99</v>
      </c>
      <c r="D66" s="8">
        <v>270607494</v>
      </c>
      <c r="E66" s="8">
        <v>20459535</v>
      </c>
      <c r="F66" s="8">
        <v>3274131</v>
      </c>
      <c r="G66" s="8">
        <v>5476716</v>
      </c>
      <c r="H66" s="8">
        <v>36934662</v>
      </c>
      <c r="I66" s="8">
        <v>5261671</v>
      </c>
      <c r="J66" s="8">
        <v>0</v>
      </c>
      <c r="K66" s="8">
        <v>0</v>
      </c>
      <c r="L66" s="8"/>
      <c r="M66" s="8"/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40">
        <f t="shared" si="0"/>
        <v>270607494</v>
      </c>
      <c r="V66" s="40">
        <f t="shared" si="1"/>
        <v>20459535</v>
      </c>
      <c r="W66" s="40">
        <f t="shared" si="2"/>
        <v>42196333</v>
      </c>
      <c r="X66" s="43">
        <f t="shared" si="3"/>
        <v>333263362</v>
      </c>
    </row>
    <row r="67" spans="1:24" ht="15.75" x14ac:dyDescent="0.3">
      <c r="A67" s="7">
        <v>41002</v>
      </c>
      <c r="B67" s="20" t="s">
        <v>261</v>
      </c>
      <c r="C67" s="7" t="s">
        <v>100</v>
      </c>
      <c r="D67" s="8">
        <v>85447361</v>
      </c>
      <c r="E67" s="8">
        <v>1890853774</v>
      </c>
      <c r="F67" s="8">
        <v>1118384</v>
      </c>
      <c r="G67" s="8">
        <v>6997162</v>
      </c>
      <c r="H67" s="8">
        <v>722340674</v>
      </c>
      <c r="I67" s="8">
        <v>24253381</v>
      </c>
      <c r="J67" s="8">
        <v>0</v>
      </c>
      <c r="K67" s="8">
        <v>0</v>
      </c>
      <c r="L67" s="8"/>
      <c r="M67" s="8"/>
      <c r="N67" s="8">
        <v>4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40">
        <f t="shared" si="0"/>
        <v>85447361</v>
      </c>
      <c r="V67" s="40">
        <f t="shared" si="1"/>
        <v>1890853774</v>
      </c>
      <c r="W67" s="40">
        <f t="shared" si="2"/>
        <v>746594059</v>
      </c>
      <c r="X67" s="43">
        <f t="shared" si="3"/>
        <v>2722895194</v>
      </c>
    </row>
    <row r="68" spans="1:24" ht="15.75" x14ac:dyDescent="0.3">
      <c r="A68" s="7">
        <v>14002</v>
      </c>
      <c r="B68" s="20" t="s">
        <v>262</v>
      </c>
      <c r="C68" s="7" t="s">
        <v>101</v>
      </c>
      <c r="D68" s="8">
        <v>100270839</v>
      </c>
      <c r="E68" s="8">
        <v>11936134</v>
      </c>
      <c r="F68" s="8">
        <v>212148</v>
      </c>
      <c r="G68" s="8">
        <v>1137228</v>
      </c>
      <c r="H68" s="8">
        <v>4152338</v>
      </c>
      <c r="I68" s="8">
        <v>4631780</v>
      </c>
      <c r="J68" s="8">
        <v>0</v>
      </c>
      <c r="K68" s="8">
        <v>0</v>
      </c>
      <c r="L68" s="8"/>
      <c r="M68" s="8"/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40">
        <f t="shared" si="0"/>
        <v>100270839</v>
      </c>
      <c r="V68" s="40">
        <f t="shared" si="1"/>
        <v>11936134</v>
      </c>
      <c r="W68" s="40">
        <f t="shared" si="2"/>
        <v>8784118</v>
      </c>
      <c r="X68" s="43">
        <f t="shared" si="3"/>
        <v>120991091</v>
      </c>
    </row>
    <row r="69" spans="1:24" ht="15.75" x14ac:dyDescent="0.3">
      <c r="A69" s="7">
        <v>10001</v>
      </c>
      <c r="B69" s="20" t="s">
        <v>263</v>
      </c>
      <c r="C69" s="7" t="s">
        <v>102</v>
      </c>
      <c r="D69" s="8">
        <v>236790767</v>
      </c>
      <c r="E69" s="8">
        <v>15396288</v>
      </c>
      <c r="F69" s="8">
        <v>463862</v>
      </c>
      <c r="G69" s="8">
        <v>1615896</v>
      </c>
      <c r="H69" s="8">
        <v>17889904</v>
      </c>
      <c r="I69" s="8">
        <v>16552818</v>
      </c>
      <c r="J69" s="8">
        <v>4</v>
      </c>
      <c r="K69" s="8">
        <v>0</v>
      </c>
      <c r="L69" s="8"/>
      <c r="M69" s="8"/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40">
        <f t="shared" ref="U69:U132" si="4">D69+J69+O69</f>
        <v>236790771</v>
      </c>
      <c r="V69" s="40">
        <f t="shared" ref="V69:V132" si="5">E69+K69+P69</f>
        <v>15396288</v>
      </c>
      <c r="W69" s="40">
        <f t="shared" ref="W69:W132" si="6">H69+I69+N69+S69+T69</f>
        <v>34442722</v>
      </c>
      <c r="X69" s="43">
        <f t="shared" ref="X69:X132" si="7">U69+V69+W69</f>
        <v>286629781</v>
      </c>
    </row>
    <row r="70" spans="1:24" ht="15.75" x14ac:dyDescent="0.3">
      <c r="A70" s="7">
        <v>34002</v>
      </c>
      <c r="B70" s="20" t="s">
        <v>264</v>
      </c>
      <c r="C70" s="7" t="s">
        <v>103</v>
      </c>
      <c r="D70" s="8">
        <v>750326033</v>
      </c>
      <c r="E70" s="8">
        <v>30764368</v>
      </c>
      <c r="F70" s="8">
        <v>344644</v>
      </c>
      <c r="G70" s="8">
        <v>2679452</v>
      </c>
      <c r="H70" s="8">
        <v>33011360</v>
      </c>
      <c r="I70" s="8">
        <v>2511708</v>
      </c>
      <c r="J70" s="8">
        <v>3</v>
      </c>
      <c r="K70" s="8">
        <v>0</v>
      </c>
      <c r="L70" s="8"/>
      <c r="M70" s="8"/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40">
        <f t="shared" si="4"/>
        <v>750326036</v>
      </c>
      <c r="V70" s="40">
        <f t="shared" si="5"/>
        <v>30764368</v>
      </c>
      <c r="W70" s="40">
        <f t="shared" si="6"/>
        <v>35523068</v>
      </c>
      <c r="X70" s="43">
        <f t="shared" si="7"/>
        <v>816613472</v>
      </c>
    </row>
    <row r="71" spans="1:24" ht="15.75" x14ac:dyDescent="0.3">
      <c r="A71" s="7">
        <v>51002</v>
      </c>
      <c r="B71" s="20" t="s">
        <v>265</v>
      </c>
      <c r="C71" s="7" t="s">
        <v>104</v>
      </c>
      <c r="D71" s="8">
        <v>2942870</v>
      </c>
      <c r="E71" s="8">
        <v>228071704</v>
      </c>
      <c r="F71" s="8">
        <v>4022495</v>
      </c>
      <c r="G71" s="8">
        <v>3331513</v>
      </c>
      <c r="H71" s="8">
        <v>303290521</v>
      </c>
      <c r="I71" s="8">
        <v>16779237</v>
      </c>
      <c r="J71" s="8">
        <v>0</v>
      </c>
      <c r="K71" s="8">
        <v>0</v>
      </c>
      <c r="L71" s="8"/>
      <c r="M71" s="8"/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40">
        <f t="shared" si="4"/>
        <v>2942870</v>
      </c>
      <c r="V71" s="40">
        <f t="shared" si="5"/>
        <v>228071704</v>
      </c>
      <c r="W71" s="40">
        <f t="shared" si="6"/>
        <v>320069758</v>
      </c>
      <c r="X71" s="43">
        <f t="shared" si="7"/>
        <v>551084332</v>
      </c>
    </row>
    <row r="72" spans="1:24" ht="15.75" x14ac:dyDescent="0.3">
      <c r="A72" s="7">
        <v>56006</v>
      </c>
      <c r="B72" s="20" t="s">
        <v>266</v>
      </c>
      <c r="C72" s="7" t="s">
        <v>105</v>
      </c>
      <c r="D72" s="8">
        <v>589784402</v>
      </c>
      <c r="E72" s="8">
        <v>32718905</v>
      </c>
      <c r="F72" s="8">
        <v>344734</v>
      </c>
      <c r="G72" s="8">
        <v>1825232</v>
      </c>
      <c r="H72" s="8">
        <v>19583531</v>
      </c>
      <c r="I72" s="8">
        <v>35263115</v>
      </c>
      <c r="J72" s="8">
        <v>0</v>
      </c>
      <c r="K72" s="8">
        <v>1</v>
      </c>
      <c r="L72" s="8"/>
      <c r="M72" s="8"/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40">
        <f t="shared" si="4"/>
        <v>589784402</v>
      </c>
      <c r="V72" s="40">
        <f t="shared" si="5"/>
        <v>32718906</v>
      </c>
      <c r="W72" s="40">
        <f t="shared" si="6"/>
        <v>54846646</v>
      </c>
      <c r="X72" s="43">
        <f t="shared" si="7"/>
        <v>677349954</v>
      </c>
    </row>
    <row r="73" spans="1:24" ht="15.75" x14ac:dyDescent="0.3">
      <c r="A73" s="7">
        <v>23002</v>
      </c>
      <c r="B73" s="20" t="s">
        <v>267</v>
      </c>
      <c r="C73" s="7" t="s">
        <v>106</v>
      </c>
      <c r="D73" s="8">
        <v>58612683</v>
      </c>
      <c r="E73" s="8">
        <v>213499779</v>
      </c>
      <c r="F73" s="8">
        <v>8669312</v>
      </c>
      <c r="G73" s="8">
        <v>12730943</v>
      </c>
      <c r="H73" s="8">
        <v>138007160</v>
      </c>
      <c r="I73" s="8">
        <v>14533849</v>
      </c>
      <c r="J73" s="8">
        <v>335664</v>
      </c>
      <c r="K73" s="8">
        <v>0</v>
      </c>
      <c r="L73" s="8"/>
      <c r="M73" s="8"/>
      <c r="N73" s="8">
        <v>2539344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40">
        <f t="shared" si="4"/>
        <v>58948347</v>
      </c>
      <c r="V73" s="40">
        <f t="shared" si="5"/>
        <v>213499779</v>
      </c>
      <c r="W73" s="40">
        <f t="shared" si="6"/>
        <v>155080353</v>
      </c>
      <c r="X73" s="43">
        <f t="shared" si="7"/>
        <v>427528479</v>
      </c>
    </row>
    <row r="74" spans="1:24" ht="15.75" x14ac:dyDescent="0.3">
      <c r="A74" s="7">
        <v>53002</v>
      </c>
      <c r="B74" s="20" t="s">
        <v>268</v>
      </c>
      <c r="C74" s="7" t="s">
        <v>107</v>
      </c>
      <c r="D74" s="8">
        <v>593852622</v>
      </c>
      <c r="E74" s="8">
        <v>23663984</v>
      </c>
      <c r="F74" s="8">
        <v>4290684</v>
      </c>
      <c r="G74" s="8">
        <v>1939100</v>
      </c>
      <c r="H74" s="8">
        <v>25102674</v>
      </c>
      <c r="I74" s="8">
        <v>865144</v>
      </c>
      <c r="J74" s="8">
        <v>2</v>
      </c>
      <c r="K74" s="8">
        <v>0</v>
      </c>
      <c r="L74" s="8"/>
      <c r="M74" s="8"/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40">
        <f t="shared" si="4"/>
        <v>593852624</v>
      </c>
      <c r="V74" s="40">
        <f t="shared" si="5"/>
        <v>23663984</v>
      </c>
      <c r="W74" s="40">
        <f t="shared" si="6"/>
        <v>25967818</v>
      </c>
      <c r="X74" s="43">
        <f t="shared" si="7"/>
        <v>643484426</v>
      </c>
    </row>
    <row r="75" spans="1:24" ht="15.75" x14ac:dyDescent="0.3">
      <c r="A75" s="7">
        <v>48003</v>
      </c>
      <c r="B75" s="20" t="s">
        <v>269</v>
      </c>
      <c r="C75" s="7" t="s">
        <v>108</v>
      </c>
      <c r="D75" s="8">
        <v>609091640</v>
      </c>
      <c r="E75" s="8">
        <v>43455410</v>
      </c>
      <c r="F75" s="8">
        <v>183777</v>
      </c>
      <c r="G75" s="8">
        <v>582605</v>
      </c>
      <c r="H75" s="8">
        <v>24282384</v>
      </c>
      <c r="I75" s="8">
        <v>57623882</v>
      </c>
      <c r="J75" s="8">
        <v>0</v>
      </c>
      <c r="K75" s="8">
        <v>0</v>
      </c>
      <c r="L75" s="8"/>
      <c r="M75" s="8"/>
      <c r="N75" s="8">
        <v>0</v>
      </c>
      <c r="O75" s="8">
        <v>0</v>
      </c>
      <c r="P75" s="8">
        <v>632518</v>
      </c>
      <c r="Q75" s="8">
        <v>0</v>
      </c>
      <c r="R75" s="8">
        <v>0</v>
      </c>
      <c r="S75" s="8">
        <v>262984</v>
      </c>
      <c r="T75" s="8">
        <v>0</v>
      </c>
      <c r="U75" s="40">
        <f t="shared" si="4"/>
        <v>609091640</v>
      </c>
      <c r="V75" s="40">
        <f t="shared" si="5"/>
        <v>44087928</v>
      </c>
      <c r="W75" s="40">
        <f t="shared" si="6"/>
        <v>82169250</v>
      </c>
      <c r="X75" s="43">
        <f t="shared" si="7"/>
        <v>735348818</v>
      </c>
    </row>
    <row r="76" spans="1:24" ht="15.75" x14ac:dyDescent="0.3">
      <c r="A76" s="7">
        <v>2002</v>
      </c>
      <c r="B76" s="20" t="s">
        <v>270</v>
      </c>
      <c r="C76" s="7" t="s">
        <v>109</v>
      </c>
      <c r="D76" s="8">
        <v>482095100</v>
      </c>
      <c r="E76" s="8">
        <v>467295067</v>
      </c>
      <c r="F76" s="8">
        <v>3313472</v>
      </c>
      <c r="G76" s="8">
        <v>6306157</v>
      </c>
      <c r="H76" s="8">
        <v>267437775</v>
      </c>
      <c r="I76" s="8">
        <v>41243335</v>
      </c>
      <c r="J76" s="8">
        <v>2</v>
      </c>
      <c r="K76" s="8">
        <v>0</v>
      </c>
      <c r="L76" s="8"/>
      <c r="M76" s="8"/>
      <c r="N76" s="8">
        <v>1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40">
        <f t="shared" si="4"/>
        <v>482095102</v>
      </c>
      <c r="V76" s="40">
        <f t="shared" si="5"/>
        <v>467295067</v>
      </c>
      <c r="W76" s="40">
        <f t="shared" si="6"/>
        <v>308681111</v>
      </c>
      <c r="X76" s="43">
        <f t="shared" si="7"/>
        <v>1258071280</v>
      </c>
    </row>
    <row r="77" spans="1:24" ht="15.75" x14ac:dyDescent="0.3">
      <c r="A77" s="7">
        <v>22006</v>
      </c>
      <c r="B77" s="20" t="s">
        <v>271</v>
      </c>
      <c r="C77" s="7" t="s">
        <v>110</v>
      </c>
      <c r="D77" s="8">
        <v>531586914</v>
      </c>
      <c r="E77" s="8">
        <v>100936809</v>
      </c>
      <c r="F77" s="8">
        <v>1215054</v>
      </c>
      <c r="G77" s="8">
        <v>3187430</v>
      </c>
      <c r="H77" s="8">
        <v>76240586</v>
      </c>
      <c r="I77" s="8">
        <v>29604983</v>
      </c>
      <c r="J77" s="8">
        <v>5</v>
      </c>
      <c r="K77" s="8">
        <v>0</v>
      </c>
      <c r="L77" s="8"/>
      <c r="M77" s="8"/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40">
        <f t="shared" si="4"/>
        <v>531586919</v>
      </c>
      <c r="V77" s="40">
        <f t="shared" si="5"/>
        <v>100936809</v>
      </c>
      <c r="W77" s="40">
        <f t="shared" si="6"/>
        <v>105845569</v>
      </c>
      <c r="X77" s="43">
        <f t="shared" si="7"/>
        <v>738369297</v>
      </c>
    </row>
    <row r="78" spans="1:24" ht="15.75" x14ac:dyDescent="0.3">
      <c r="A78" s="7">
        <v>13003</v>
      </c>
      <c r="B78" s="20" t="s">
        <v>272</v>
      </c>
      <c r="C78" s="7" t="s">
        <v>111</v>
      </c>
      <c r="D78" s="8">
        <v>382024680</v>
      </c>
      <c r="E78" s="8">
        <v>57101737</v>
      </c>
      <c r="F78" s="8">
        <v>137445</v>
      </c>
      <c r="G78" s="8">
        <v>751841</v>
      </c>
      <c r="H78" s="8">
        <v>17435087</v>
      </c>
      <c r="I78" s="8">
        <v>17017343</v>
      </c>
      <c r="J78" s="8">
        <v>1</v>
      </c>
      <c r="K78" s="8">
        <v>0</v>
      </c>
      <c r="L78" s="8"/>
      <c r="M78" s="8"/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40">
        <f t="shared" si="4"/>
        <v>382024681</v>
      </c>
      <c r="V78" s="40">
        <f t="shared" si="5"/>
        <v>57101737</v>
      </c>
      <c r="W78" s="40">
        <f t="shared" si="6"/>
        <v>34452430</v>
      </c>
      <c r="X78" s="43">
        <f t="shared" si="7"/>
        <v>473578848</v>
      </c>
    </row>
    <row r="79" spans="1:24" ht="15.75" x14ac:dyDescent="0.3">
      <c r="A79" s="7">
        <v>2003</v>
      </c>
      <c r="B79" s="20" t="s">
        <v>273</v>
      </c>
      <c r="C79" s="7" t="s">
        <v>112</v>
      </c>
      <c r="D79" s="8">
        <v>432282450</v>
      </c>
      <c r="E79" s="8">
        <v>33877967</v>
      </c>
      <c r="F79" s="8">
        <v>515522</v>
      </c>
      <c r="G79" s="8">
        <v>1454018</v>
      </c>
      <c r="H79" s="8">
        <v>11785654</v>
      </c>
      <c r="I79" s="8">
        <v>54341229</v>
      </c>
      <c r="J79" s="8">
        <v>2</v>
      </c>
      <c r="K79" s="8">
        <v>0</v>
      </c>
      <c r="L79" s="8"/>
      <c r="M79" s="8"/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40">
        <f t="shared" si="4"/>
        <v>432282452</v>
      </c>
      <c r="V79" s="40">
        <f t="shared" si="5"/>
        <v>33877967</v>
      </c>
      <c r="W79" s="40">
        <f t="shared" si="6"/>
        <v>66126883</v>
      </c>
      <c r="X79" s="43">
        <f t="shared" si="7"/>
        <v>532287302</v>
      </c>
    </row>
    <row r="80" spans="1:24" ht="15.75" x14ac:dyDescent="0.3">
      <c r="A80" s="7">
        <v>37003</v>
      </c>
      <c r="B80" s="20" t="s">
        <v>274</v>
      </c>
      <c r="C80" s="7" t="s">
        <v>113</v>
      </c>
      <c r="D80" s="8">
        <v>290973249</v>
      </c>
      <c r="E80" s="8">
        <v>15567217</v>
      </c>
      <c r="F80" s="8">
        <v>496056</v>
      </c>
      <c r="G80" s="8">
        <v>1798233</v>
      </c>
      <c r="H80" s="8">
        <v>17848316</v>
      </c>
      <c r="I80" s="8">
        <v>18391</v>
      </c>
      <c r="J80" s="8">
        <v>0</v>
      </c>
      <c r="K80" s="8">
        <v>0</v>
      </c>
      <c r="L80" s="8"/>
      <c r="M80" s="8"/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40">
        <f t="shared" si="4"/>
        <v>290973249</v>
      </c>
      <c r="V80" s="40">
        <f t="shared" si="5"/>
        <v>15567217</v>
      </c>
      <c r="W80" s="40">
        <f t="shared" si="6"/>
        <v>17866707</v>
      </c>
      <c r="X80" s="43">
        <f t="shared" si="7"/>
        <v>324407173</v>
      </c>
    </row>
    <row r="81" spans="1:24" ht="15.75" x14ac:dyDescent="0.3">
      <c r="A81" s="7">
        <v>35002</v>
      </c>
      <c r="B81" s="20" t="s">
        <v>275</v>
      </c>
      <c r="C81" s="7" t="s">
        <v>114</v>
      </c>
      <c r="D81" s="8">
        <v>333707838</v>
      </c>
      <c r="E81" s="8">
        <v>20701141</v>
      </c>
      <c r="F81" s="8">
        <v>1466282</v>
      </c>
      <c r="G81" s="8">
        <v>7658174</v>
      </c>
      <c r="H81" s="8">
        <v>24396898</v>
      </c>
      <c r="I81" s="8">
        <v>58621</v>
      </c>
      <c r="J81" s="8">
        <v>0</v>
      </c>
      <c r="K81" s="8">
        <v>0</v>
      </c>
      <c r="L81" s="8"/>
      <c r="M81" s="8"/>
      <c r="N81" s="8">
        <v>12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40">
        <f t="shared" si="4"/>
        <v>333707838</v>
      </c>
      <c r="V81" s="40">
        <f t="shared" si="5"/>
        <v>20701141</v>
      </c>
      <c r="W81" s="40">
        <f t="shared" si="6"/>
        <v>24455531</v>
      </c>
      <c r="X81" s="43">
        <f t="shared" si="7"/>
        <v>378864510</v>
      </c>
    </row>
    <row r="82" spans="1:24" ht="15.75" x14ac:dyDescent="0.3">
      <c r="A82" s="7">
        <v>7002</v>
      </c>
      <c r="B82" s="20" t="s">
        <v>276</v>
      </c>
      <c r="C82" s="7" t="s">
        <v>115</v>
      </c>
      <c r="D82" s="8">
        <v>447282649</v>
      </c>
      <c r="E82" s="8">
        <v>31648890</v>
      </c>
      <c r="F82" s="8">
        <v>482683</v>
      </c>
      <c r="G82" s="8">
        <v>1312021</v>
      </c>
      <c r="H82" s="8">
        <v>25846141</v>
      </c>
      <c r="I82" s="8">
        <v>708314</v>
      </c>
      <c r="J82" s="8">
        <v>1</v>
      </c>
      <c r="K82" s="8">
        <v>0</v>
      </c>
      <c r="L82" s="8"/>
      <c r="M82" s="8"/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40">
        <f t="shared" si="4"/>
        <v>447282650</v>
      </c>
      <c r="V82" s="40">
        <f t="shared" si="5"/>
        <v>31648890</v>
      </c>
      <c r="W82" s="40">
        <f t="shared" si="6"/>
        <v>26554455</v>
      </c>
      <c r="X82" s="43">
        <f t="shared" si="7"/>
        <v>505485995</v>
      </c>
    </row>
    <row r="83" spans="1:24" ht="15.75" x14ac:dyDescent="0.3">
      <c r="A83" s="7">
        <v>38003</v>
      </c>
      <c r="B83" s="20" t="s">
        <v>277</v>
      </c>
      <c r="C83" s="7" t="s">
        <v>116</v>
      </c>
      <c r="D83" s="8">
        <v>260380653</v>
      </c>
      <c r="E83" s="8">
        <v>38056085</v>
      </c>
      <c r="F83" s="8">
        <v>524628</v>
      </c>
      <c r="G83" s="8">
        <v>768741</v>
      </c>
      <c r="H83" s="8">
        <v>22258451</v>
      </c>
      <c r="I83" s="8">
        <v>4997326</v>
      </c>
      <c r="J83" s="8">
        <v>3</v>
      </c>
      <c r="K83" s="8">
        <v>0</v>
      </c>
      <c r="L83" s="8"/>
      <c r="M83" s="8"/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40">
        <f t="shared" si="4"/>
        <v>260380656</v>
      </c>
      <c r="V83" s="40">
        <f t="shared" si="5"/>
        <v>38056085</v>
      </c>
      <c r="W83" s="40">
        <f t="shared" si="6"/>
        <v>27255777</v>
      </c>
      <c r="X83" s="43">
        <f t="shared" si="7"/>
        <v>325692518</v>
      </c>
    </row>
    <row r="84" spans="1:24" ht="15.75" x14ac:dyDescent="0.3">
      <c r="A84" s="7">
        <v>45005</v>
      </c>
      <c r="B84" s="20" t="s">
        <v>278</v>
      </c>
      <c r="C84" s="7" t="s">
        <v>117</v>
      </c>
      <c r="D84" s="8">
        <v>429010767</v>
      </c>
      <c r="E84" s="8">
        <v>41095380</v>
      </c>
      <c r="F84" s="8">
        <v>339206</v>
      </c>
      <c r="G84" s="8">
        <v>1251051</v>
      </c>
      <c r="H84" s="8">
        <v>15713276</v>
      </c>
      <c r="I84" s="8">
        <v>14321018</v>
      </c>
      <c r="J84" s="8">
        <v>0</v>
      </c>
      <c r="K84" s="8">
        <v>0</v>
      </c>
      <c r="L84" s="8"/>
      <c r="M84" s="8"/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40">
        <f t="shared" si="4"/>
        <v>429010767</v>
      </c>
      <c r="V84" s="40">
        <f t="shared" si="5"/>
        <v>41095380</v>
      </c>
      <c r="W84" s="40">
        <f t="shared" si="6"/>
        <v>30034294</v>
      </c>
      <c r="X84" s="43">
        <f t="shared" si="7"/>
        <v>500140441</v>
      </c>
    </row>
    <row r="85" spans="1:24" ht="15.75" x14ac:dyDescent="0.3">
      <c r="A85" s="7">
        <v>40001</v>
      </c>
      <c r="B85" s="20" t="s">
        <v>279</v>
      </c>
      <c r="C85" s="7" t="s">
        <v>118</v>
      </c>
      <c r="D85" s="8">
        <v>5848197</v>
      </c>
      <c r="E85" s="8">
        <v>308104695</v>
      </c>
      <c r="F85" s="8">
        <v>1415614</v>
      </c>
      <c r="G85" s="8">
        <v>4688238</v>
      </c>
      <c r="H85" s="8">
        <v>600430735</v>
      </c>
      <c r="I85" s="8">
        <v>20641417</v>
      </c>
      <c r="J85" s="8">
        <v>0</v>
      </c>
      <c r="K85" s="8">
        <v>6</v>
      </c>
      <c r="L85" s="8"/>
      <c r="M85" s="8"/>
      <c r="N85" s="8">
        <v>14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40">
        <f t="shared" si="4"/>
        <v>5848197</v>
      </c>
      <c r="V85" s="40">
        <f t="shared" si="5"/>
        <v>308104701</v>
      </c>
      <c r="W85" s="40">
        <f t="shared" si="6"/>
        <v>621072166</v>
      </c>
      <c r="X85" s="43">
        <f t="shared" si="7"/>
        <v>935025064</v>
      </c>
    </row>
    <row r="86" spans="1:24" ht="15.75" x14ac:dyDescent="0.3">
      <c r="A86" s="7">
        <v>52004</v>
      </c>
      <c r="B86" s="20" t="s">
        <v>280</v>
      </c>
      <c r="C86" s="7" t="s">
        <v>119</v>
      </c>
      <c r="D86" s="8">
        <v>424845821</v>
      </c>
      <c r="E86" s="8">
        <v>35095917</v>
      </c>
      <c r="F86" s="8">
        <v>1254839</v>
      </c>
      <c r="G86" s="8">
        <v>3385405</v>
      </c>
      <c r="H86" s="8">
        <v>31210092</v>
      </c>
      <c r="I86" s="8">
        <v>2141892</v>
      </c>
      <c r="J86" s="8">
        <v>0</v>
      </c>
      <c r="K86" s="8">
        <v>5</v>
      </c>
      <c r="L86" s="8"/>
      <c r="M86" s="8"/>
      <c r="N86" s="8">
        <v>9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40">
        <f t="shared" si="4"/>
        <v>424845821</v>
      </c>
      <c r="V86" s="40">
        <f t="shared" si="5"/>
        <v>35095922</v>
      </c>
      <c r="W86" s="40">
        <f t="shared" si="6"/>
        <v>33351993</v>
      </c>
      <c r="X86" s="43">
        <f t="shared" si="7"/>
        <v>493293736</v>
      </c>
    </row>
    <row r="87" spans="1:24" ht="15.75" x14ac:dyDescent="0.3">
      <c r="A87" s="7">
        <v>41004</v>
      </c>
      <c r="B87" s="20" t="s">
        <v>281</v>
      </c>
      <c r="C87" s="7" t="s">
        <v>120</v>
      </c>
      <c r="D87" s="8">
        <v>268694071</v>
      </c>
      <c r="E87" s="8">
        <v>289072951</v>
      </c>
      <c r="F87" s="8">
        <v>374790</v>
      </c>
      <c r="G87" s="8">
        <v>3909135</v>
      </c>
      <c r="H87" s="8">
        <v>123043945</v>
      </c>
      <c r="I87" s="8">
        <v>16087239</v>
      </c>
      <c r="J87" s="8">
        <v>8</v>
      </c>
      <c r="K87" s="8">
        <v>4</v>
      </c>
      <c r="L87" s="8"/>
      <c r="M87" s="8"/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40">
        <f t="shared" si="4"/>
        <v>268694079</v>
      </c>
      <c r="V87" s="40">
        <f t="shared" si="5"/>
        <v>289072955</v>
      </c>
      <c r="W87" s="40">
        <f t="shared" si="6"/>
        <v>139131184</v>
      </c>
      <c r="X87" s="43">
        <f t="shared" si="7"/>
        <v>696898218</v>
      </c>
    </row>
    <row r="88" spans="1:24" ht="15.75" x14ac:dyDescent="0.3">
      <c r="A88" s="7">
        <v>44002</v>
      </c>
      <c r="B88" s="20" t="s">
        <v>282</v>
      </c>
      <c r="C88" s="7" t="s">
        <v>121</v>
      </c>
      <c r="D88" s="8">
        <v>350106820</v>
      </c>
      <c r="E88" s="8">
        <v>22230634</v>
      </c>
      <c r="F88" s="8">
        <v>200438</v>
      </c>
      <c r="G88" s="8">
        <v>1543838</v>
      </c>
      <c r="H88" s="8">
        <v>7485950</v>
      </c>
      <c r="I88" s="8">
        <v>11222789</v>
      </c>
      <c r="J88" s="8">
        <v>2</v>
      </c>
      <c r="K88" s="8">
        <v>0</v>
      </c>
      <c r="L88" s="8"/>
      <c r="M88" s="8"/>
      <c r="N88" s="8">
        <v>1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40">
        <f t="shared" si="4"/>
        <v>350106822</v>
      </c>
      <c r="V88" s="40">
        <f t="shared" si="5"/>
        <v>22230634</v>
      </c>
      <c r="W88" s="40">
        <f t="shared" si="6"/>
        <v>18708740</v>
      </c>
      <c r="X88" s="43">
        <f t="shared" si="7"/>
        <v>391046196</v>
      </c>
    </row>
    <row r="89" spans="1:24" ht="15.75" x14ac:dyDescent="0.3">
      <c r="A89" s="7">
        <v>42001</v>
      </c>
      <c r="B89" s="20" t="s">
        <v>283</v>
      </c>
      <c r="C89" s="7" t="s">
        <v>122</v>
      </c>
      <c r="D89" s="8">
        <v>498285782</v>
      </c>
      <c r="E89" s="8">
        <v>37208014</v>
      </c>
      <c r="F89" s="8">
        <v>1367315</v>
      </c>
      <c r="G89" s="8">
        <v>3510887</v>
      </c>
      <c r="H89" s="8">
        <v>36579682</v>
      </c>
      <c r="I89" s="8">
        <v>3579</v>
      </c>
      <c r="J89" s="8">
        <v>0</v>
      </c>
      <c r="K89" s="8">
        <v>0</v>
      </c>
      <c r="L89" s="8"/>
      <c r="M89" s="8"/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40">
        <f t="shared" si="4"/>
        <v>498285782</v>
      </c>
      <c r="V89" s="40">
        <f t="shared" si="5"/>
        <v>37208014</v>
      </c>
      <c r="W89" s="40">
        <f t="shared" si="6"/>
        <v>36583261</v>
      </c>
      <c r="X89" s="43">
        <f t="shared" si="7"/>
        <v>572077057</v>
      </c>
    </row>
    <row r="90" spans="1:24" ht="15.75" x14ac:dyDescent="0.3">
      <c r="A90" s="7">
        <v>39002</v>
      </c>
      <c r="B90" s="20" t="s">
        <v>284</v>
      </c>
      <c r="C90" s="7" t="s">
        <v>123</v>
      </c>
      <c r="D90" s="8">
        <v>327424836</v>
      </c>
      <c r="E90" s="8">
        <v>349347952</v>
      </c>
      <c r="F90" s="8">
        <v>2170325</v>
      </c>
      <c r="G90" s="8">
        <v>2272422</v>
      </c>
      <c r="H90" s="8">
        <v>205748667</v>
      </c>
      <c r="I90" s="8">
        <v>25780318</v>
      </c>
      <c r="J90" s="8">
        <v>136</v>
      </c>
      <c r="K90" s="8">
        <v>0</v>
      </c>
      <c r="L90" s="8"/>
      <c r="M90" s="8"/>
      <c r="N90" s="8">
        <v>586860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40">
        <f t="shared" si="4"/>
        <v>327424972</v>
      </c>
      <c r="V90" s="40">
        <f t="shared" si="5"/>
        <v>349347952</v>
      </c>
      <c r="W90" s="40">
        <f t="shared" si="6"/>
        <v>232115845</v>
      </c>
      <c r="X90" s="43">
        <f t="shared" si="7"/>
        <v>908888769</v>
      </c>
    </row>
    <row r="91" spans="1:24" ht="15.75" x14ac:dyDescent="0.3">
      <c r="A91" s="7">
        <v>60003</v>
      </c>
      <c r="B91" s="20" t="s">
        <v>285</v>
      </c>
      <c r="C91" s="7" t="s">
        <v>124</v>
      </c>
      <c r="D91" s="8">
        <v>150363047</v>
      </c>
      <c r="E91" s="8">
        <v>49489130</v>
      </c>
      <c r="F91" s="8">
        <v>46965</v>
      </c>
      <c r="G91" s="8">
        <v>910145</v>
      </c>
      <c r="H91" s="8">
        <v>56588587</v>
      </c>
      <c r="I91" s="8">
        <v>1930409</v>
      </c>
      <c r="J91" s="8">
        <v>1</v>
      </c>
      <c r="K91" s="8">
        <v>9</v>
      </c>
      <c r="L91" s="8"/>
      <c r="M91" s="8"/>
      <c r="N91" s="8">
        <v>8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40">
        <f t="shared" si="4"/>
        <v>150363048</v>
      </c>
      <c r="V91" s="40">
        <f t="shared" si="5"/>
        <v>49489139</v>
      </c>
      <c r="W91" s="40">
        <f t="shared" si="6"/>
        <v>58519004</v>
      </c>
      <c r="X91" s="43">
        <f t="shared" si="7"/>
        <v>258371191</v>
      </c>
    </row>
    <row r="92" spans="1:24" ht="15.75" x14ac:dyDescent="0.3">
      <c r="A92" s="7">
        <v>43007</v>
      </c>
      <c r="B92" s="20" t="s">
        <v>286</v>
      </c>
      <c r="C92" s="7" t="s">
        <v>125</v>
      </c>
      <c r="D92" s="8">
        <v>303615113</v>
      </c>
      <c r="E92" s="8">
        <v>65898583</v>
      </c>
      <c r="F92" s="8">
        <v>190072</v>
      </c>
      <c r="G92" s="8">
        <v>328698</v>
      </c>
      <c r="H92" s="8">
        <v>25490103</v>
      </c>
      <c r="I92" s="8">
        <v>3852280</v>
      </c>
      <c r="J92" s="8">
        <v>1</v>
      </c>
      <c r="K92" s="8">
        <v>0</v>
      </c>
      <c r="L92" s="8"/>
      <c r="M92" s="8"/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40">
        <f t="shared" si="4"/>
        <v>303615114</v>
      </c>
      <c r="V92" s="40">
        <f t="shared" si="5"/>
        <v>65898583</v>
      </c>
      <c r="W92" s="40">
        <f t="shared" si="6"/>
        <v>29342383</v>
      </c>
      <c r="X92" s="43">
        <f t="shared" si="7"/>
        <v>398856080</v>
      </c>
    </row>
    <row r="93" spans="1:24" ht="15.75" x14ac:dyDescent="0.3">
      <c r="A93" s="7">
        <v>15001</v>
      </c>
      <c r="B93" s="20" t="s">
        <v>287</v>
      </c>
      <c r="C93" s="7" t="s">
        <v>126</v>
      </c>
      <c r="D93" s="8">
        <v>156082576</v>
      </c>
      <c r="E93" s="8">
        <v>3374212</v>
      </c>
      <c r="F93" s="8">
        <v>135214</v>
      </c>
      <c r="G93" s="8">
        <v>1494075</v>
      </c>
      <c r="H93" s="8">
        <v>2493659</v>
      </c>
      <c r="I93" s="8">
        <v>796827</v>
      </c>
      <c r="J93" s="8">
        <v>0</v>
      </c>
      <c r="K93" s="8">
        <v>0</v>
      </c>
      <c r="L93" s="8"/>
      <c r="M93" s="8"/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40">
        <f t="shared" si="4"/>
        <v>156082576</v>
      </c>
      <c r="V93" s="40">
        <f t="shared" si="5"/>
        <v>3374212</v>
      </c>
      <c r="W93" s="40">
        <f t="shared" si="6"/>
        <v>3290486</v>
      </c>
      <c r="X93" s="43">
        <f t="shared" si="7"/>
        <v>162747274</v>
      </c>
    </row>
    <row r="94" spans="1:24" ht="15.75" x14ac:dyDescent="0.3">
      <c r="A94" s="7">
        <v>15002</v>
      </c>
      <c r="B94" s="20" t="s">
        <v>288</v>
      </c>
      <c r="C94" s="7" t="s">
        <v>127</v>
      </c>
      <c r="D94" s="8">
        <v>159693506</v>
      </c>
      <c r="E94" s="8">
        <v>5229571</v>
      </c>
      <c r="F94" s="8">
        <v>548588</v>
      </c>
      <c r="G94" s="8">
        <v>1229230</v>
      </c>
      <c r="H94" s="8">
        <v>15662740</v>
      </c>
      <c r="I94" s="8">
        <v>316831</v>
      </c>
      <c r="J94" s="8">
        <v>0</v>
      </c>
      <c r="K94" s="8">
        <v>0</v>
      </c>
      <c r="L94" s="8"/>
      <c r="M94" s="8"/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40">
        <f t="shared" si="4"/>
        <v>159693506</v>
      </c>
      <c r="V94" s="40">
        <f t="shared" si="5"/>
        <v>5229571</v>
      </c>
      <c r="W94" s="40">
        <f t="shared" si="6"/>
        <v>15979571</v>
      </c>
      <c r="X94" s="43">
        <f t="shared" si="7"/>
        <v>180902648</v>
      </c>
    </row>
    <row r="95" spans="1:24" ht="15.75" x14ac:dyDescent="0.3">
      <c r="A95" s="7">
        <v>46001</v>
      </c>
      <c r="B95" s="20" t="s">
        <v>289</v>
      </c>
      <c r="C95" s="7" t="s">
        <v>128</v>
      </c>
      <c r="D95" s="8">
        <v>594753311</v>
      </c>
      <c r="E95" s="8">
        <v>887818103</v>
      </c>
      <c r="F95" s="8">
        <v>10456049</v>
      </c>
      <c r="G95" s="8">
        <v>34975656</v>
      </c>
      <c r="H95" s="8">
        <v>402105234</v>
      </c>
      <c r="I95" s="8">
        <v>20345320</v>
      </c>
      <c r="J95" s="8">
        <v>917785</v>
      </c>
      <c r="K95" s="8">
        <v>0</v>
      </c>
      <c r="L95" s="8"/>
      <c r="M95" s="8"/>
      <c r="N95" s="8">
        <v>18832130</v>
      </c>
      <c r="O95" s="8">
        <v>132866</v>
      </c>
      <c r="P95" s="8">
        <v>5312829</v>
      </c>
      <c r="Q95" s="8">
        <v>61312</v>
      </c>
      <c r="R95" s="8">
        <v>0</v>
      </c>
      <c r="S95" s="8">
        <v>23712</v>
      </c>
      <c r="T95" s="8">
        <v>0</v>
      </c>
      <c r="U95" s="40">
        <f t="shared" si="4"/>
        <v>595803962</v>
      </c>
      <c r="V95" s="40">
        <f t="shared" si="5"/>
        <v>893130932</v>
      </c>
      <c r="W95" s="40">
        <f t="shared" si="6"/>
        <v>441306396</v>
      </c>
      <c r="X95" s="43">
        <f t="shared" si="7"/>
        <v>1930241290</v>
      </c>
    </row>
    <row r="96" spans="1:24" ht="15.75" x14ac:dyDescent="0.3">
      <c r="A96" s="7">
        <v>33002</v>
      </c>
      <c r="B96" s="20" t="s">
        <v>290</v>
      </c>
      <c r="C96" s="7" t="s">
        <v>129</v>
      </c>
      <c r="D96" s="8">
        <v>237514177</v>
      </c>
      <c r="E96" s="8">
        <v>30957268</v>
      </c>
      <c r="F96" s="8">
        <v>88474</v>
      </c>
      <c r="G96" s="8">
        <v>505837</v>
      </c>
      <c r="H96" s="8">
        <v>10913407</v>
      </c>
      <c r="I96" s="8">
        <v>27195740</v>
      </c>
      <c r="J96" s="8">
        <v>0</v>
      </c>
      <c r="K96" s="8">
        <v>0</v>
      </c>
      <c r="L96" s="8"/>
      <c r="M96" s="8"/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40">
        <f t="shared" si="4"/>
        <v>237514177</v>
      </c>
      <c r="V96" s="40">
        <f t="shared" si="5"/>
        <v>30957268</v>
      </c>
      <c r="W96" s="40">
        <f t="shared" si="6"/>
        <v>38109147</v>
      </c>
      <c r="X96" s="43">
        <f t="shared" si="7"/>
        <v>306580592</v>
      </c>
    </row>
    <row r="97" spans="1:24" ht="15.75" x14ac:dyDescent="0.3">
      <c r="A97" s="7">
        <v>25004</v>
      </c>
      <c r="B97" s="20" t="s">
        <v>291</v>
      </c>
      <c r="C97" s="7" t="s">
        <v>130</v>
      </c>
      <c r="D97" s="8">
        <v>495541996</v>
      </c>
      <c r="E97" s="8">
        <v>205589774</v>
      </c>
      <c r="F97" s="8">
        <v>969360</v>
      </c>
      <c r="G97" s="8">
        <v>2977033</v>
      </c>
      <c r="H97" s="8">
        <v>114450442</v>
      </c>
      <c r="I97" s="8">
        <v>103478323</v>
      </c>
      <c r="J97" s="8">
        <v>0</v>
      </c>
      <c r="K97" s="8">
        <v>0</v>
      </c>
      <c r="L97" s="8"/>
      <c r="M97" s="8"/>
      <c r="N97" s="8">
        <v>2</v>
      </c>
      <c r="O97" s="8">
        <v>0</v>
      </c>
      <c r="P97" s="8">
        <v>0</v>
      </c>
      <c r="Q97" s="8">
        <v>0</v>
      </c>
      <c r="R97" s="8">
        <v>0</v>
      </c>
      <c r="S97" s="8">
        <v>69509</v>
      </c>
      <c r="T97" s="8">
        <v>0</v>
      </c>
      <c r="U97" s="40">
        <f t="shared" si="4"/>
        <v>495541996</v>
      </c>
      <c r="V97" s="40">
        <f t="shared" si="5"/>
        <v>205589774</v>
      </c>
      <c r="W97" s="40">
        <f t="shared" si="6"/>
        <v>217998276</v>
      </c>
      <c r="X97" s="43">
        <f t="shared" si="7"/>
        <v>919130046</v>
      </c>
    </row>
    <row r="98" spans="1:24" ht="15.75" x14ac:dyDescent="0.3">
      <c r="A98" s="7">
        <v>29004</v>
      </c>
      <c r="B98" s="20" t="s">
        <v>292</v>
      </c>
      <c r="C98" s="7" t="s">
        <v>131</v>
      </c>
      <c r="D98" s="8">
        <v>1146940428</v>
      </c>
      <c r="E98" s="8">
        <v>80061761</v>
      </c>
      <c r="F98" s="8">
        <v>504243</v>
      </c>
      <c r="G98" s="8">
        <v>2186047</v>
      </c>
      <c r="H98" s="8">
        <v>44420225</v>
      </c>
      <c r="I98" s="8">
        <v>1537676</v>
      </c>
      <c r="J98" s="8">
        <v>3</v>
      </c>
      <c r="K98" s="8">
        <v>0</v>
      </c>
      <c r="L98" s="8"/>
      <c r="M98" s="8"/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40">
        <f t="shared" si="4"/>
        <v>1146940431</v>
      </c>
      <c r="V98" s="40">
        <f t="shared" si="5"/>
        <v>80061761</v>
      </c>
      <c r="W98" s="40">
        <f t="shared" si="6"/>
        <v>45957901</v>
      </c>
      <c r="X98" s="43">
        <f t="shared" si="7"/>
        <v>1272960093</v>
      </c>
    </row>
    <row r="99" spans="1:24" ht="15.75" x14ac:dyDescent="0.3">
      <c r="A99" s="7">
        <v>17002</v>
      </c>
      <c r="B99" s="20" t="s">
        <v>293</v>
      </c>
      <c r="C99" s="7" t="s">
        <v>132</v>
      </c>
      <c r="D99" s="8">
        <v>273166383</v>
      </c>
      <c r="E99" s="8">
        <v>692177210</v>
      </c>
      <c r="F99" s="8">
        <v>3265275</v>
      </c>
      <c r="G99" s="8">
        <v>4094894</v>
      </c>
      <c r="H99" s="8">
        <v>467387691</v>
      </c>
      <c r="I99" s="8">
        <v>24804076</v>
      </c>
      <c r="J99" s="8">
        <v>10</v>
      </c>
      <c r="K99" s="8">
        <v>0</v>
      </c>
      <c r="L99" s="8"/>
      <c r="M99" s="8"/>
      <c r="N99" s="8">
        <v>13</v>
      </c>
      <c r="O99" s="8">
        <v>0</v>
      </c>
      <c r="P99" s="8">
        <v>4486755</v>
      </c>
      <c r="Q99" s="8">
        <v>0</v>
      </c>
      <c r="R99" s="8">
        <v>0</v>
      </c>
      <c r="S99" s="8">
        <v>4800055</v>
      </c>
      <c r="T99" s="8">
        <v>0</v>
      </c>
      <c r="U99" s="40">
        <f t="shared" si="4"/>
        <v>273166393</v>
      </c>
      <c r="V99" s="40">
        <f t="shared" si="5"/>
        <v>696663965</v>
      </c>
      <c r="W99" s="40">
        <f t="shared" si="6"/>
        <v>496991835</v>
      </c>
      <c r="X99" s="43">
        <f t="shared" si="7"/>
        <v>1466822193</v>
      </c>
    </row>
    <row r="100" spans="1:24" ht="15.75" x14ac:dyDescent="0.3">
      <c r="A100" s="7">
        <v>62006</v>
      </c>
      <c r="B100" s="20" t="s">
        <v>294</v>
      </c>
      <c r="C100" s="7" t="s">
        <v>133</v>
      </c>
      <c r="D100" s="8">
        <v>143927897</v>
      </c>
      <c r="E100" s="8">
        <v>118536965</v>
      </c>
      <c r="F100" s="8">
        <v>1285820</v>
      </c>
      <c r="G100" s="8">
        <v>2759291</v>
      </c>
      <c r="H100" s="8">
        <v>69195665</v>
      </c>
      <c r="I100" s="8">
        <v>5506583</v>
      </c>
      <c r="J100" s="8">
        <v>2</v>
      </c>
      <c r="K100" s="8">
        <v>0</v>
      </c>
      <c r="L100" s="8"/>
      <c r="M100" s="8"/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40">
        <f t="shared" si="4"/>
        <v>143927899</v>
      </c>
      <c r="V100" s="40">
        <f t="shared" si="5"/>
        <v>118536965</v>
      </c>
      <c r="W100" s="40">
        <f t="shared" si="6"/>
        <v>74702248</v>
      </c>
      <c r="X100" s="43">
        <f t="shared" si="7"/>
        <v>337167112</v>
      </c>
    </row>
    <row r="101" spans="1:24" ht="15.75" x14ac:dyDescent="0.3">
      <c r="A101" s="7">
        <v>43002</v>
      </c>
      <c r="B101" s="20" t="s">
        <v>295</v>
      </c>
      <c r="C101" s="7" t="s">
        <v>134</v>
      </c>
      <c r="D101" s="8">
        <v>146365551</v>
      </c>
      <c r="E101" s="8">
        <v>41176652</v>
      </c>
      <c r="F101" s="8">
        <v>45779</v>
      </c>
      <c r="G101" s="8">
        <v>567159</v>
      </c>
      <c r="H101" s="8">
        <v>7495840</v>
      </c>
      <c r="I101" s="8">
        <v>6906180</v>
      </c>
      <c r="J101" s="8">
        <v>0</v>
      </c>
      <c r="K101" s="8">
        <v>0</v>
      </c>
      <c r="L101" s="8"/>
      <c r="M101" s="8"/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40">
        <f t="shared" si="4"/>
        <v>146365551</v>
      </c>
      <c r="V101" s="40">
        <f t="shared" si="5"/>
        <v>41176652</v>
      </c>
      <c r="W101" s="40">
        <f t="shared" si="6"/>
        <v>14402020</v>
      </c>
      <c r="X101" s="43">
        <f t="shared" si="7"/>
        <v>201944223</v>
      </c>
    </row>
    <row r="102" spans="1:24" ht="15.75" x14ac:dyDescent="0.3">
      <c r="A102" s="7">
        <v>17003</v>
      </c>
      <c r="B102" s="20" t="s">
        <v>296</v>
      </c>
      <c r="C102" s="7" t="s">
        <v>135</v>
      </c>
      <c r="D102" s="8">
        <v>206713068</v>
      </c>
      <c r="E102" s="8">
        <v>27475331</v>
      </c>
      <c r="F102" s="8">
        <v>206030</v>
      </c>
      <c r="G102" s="8">
        <v>700870</v>
      </c>
      <c r="H102" s="8">
        <v>11411454</v>
      </c>
      <c r="I102" s="8">
        <v>920998</v>
      </c>
      <c r="J102" s="8">
        <v>4</v>
      </c>
      <c r="K102" s="8">
        <v>0</v>
      </c>
      <c r="L102" s="8"/>
      <c r="M102" s="8"/>
      <c r="N102" s="8">
        <v>1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40">
        <f t="shared" si="4"/>
        <v>206713072</v>
      </c>
      <c r="V102" s="40">
        <f t="shared" si="5"/>
        <v>27475331</v>
      </c>
      <c r="W102" s="40">
        <f t="shared" si="6"/>
        <v>12332453</v>
      </c>
      <c r="X102" s="43">
        <f t="shared" si="7"/>
        <v>246520856</v>
      </c>
    </row>
    <row r="103" spans="1:24" ht="15.75" x14ac:dyDescent="0.3">
      <c r="A103" s="7">
        <v>51003</v>
      </c>
      <c r="B103" s="20" t="s">
        <v>297</v>
      </c>
      <c r="C103" s="7" t="s">
        <v>136</v>
      </c>
      <c r="D103" s="8">
        <v>88163363</v>
      </c>
      <c r="E103" s="8">
        <v>30928168</v>
      </c>
      <c r="F103" s="8">
        <v>596330</v>
      </c>
      <c r="G103" s="8">
        <v>1485132</v>
      </c>
      <c r="H103" s="8">
        <v>12084384</v>
      </c>
      <c r="I103" s="8">
        <v>13534</v>
      </c>
      <c r="J103" s="8">
        <v>0</v>
      </c>
      <c r="K103" s="8">
        <v>0</v>
      </c>
      <c r="L103" s="8"/>
      <c r="M103" s="8"/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40">
        <f t="shared" si="4"/>
        <v>88163363</v>
      </c>
      <c r="V103" s="40">
        <f t="shared" si="5"/>
        <v>30928168</v>
      </c>
      <c r="W103" s="40">
        <f t="shared" si="6"/>
        <v>12097918</v>
      </c>
      <c r="X103" s="43">
        <f t="shared" si="7"/>
        <v>131189449</v>
      </c>
    </row>
    <row r="104" spans="1:24" ht="15.75" x14ac:dyDescent="0.3">
      <c r="A104" s="7">
        <v>9002</v>
      </c>
      <c r="B104" s="20" t="s">
        <v>298</v>
      </c>
      <c r="C104" s="7" t="s">
        <v>137</v>
      </c>
      <c r="D104" s="8">
        <v>217234482</v>
      </c>
      <c r="E104" s="8">
        <v>45108331</v>
      </c>
      <c r="F104" s="8">
        <v>2151514</v>
      </c>
      <c r="G104" s="8">
        <v>8778048</v>
      </c>
      <c r="H104" s="8">
        <v>26320439</v>
      </c>
      <c r="I104" s="8">
        <v>2471722</v>
      </c>
      <c r="J104" s="8">
        <v>0</v>
      </c>
      <c r="K104" s="8">
        <v>0</v>
      </c>
      <c r="L104" s="8"/>
      <c r="M104" s="8"/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40">
        <f t="shared" si="4"/>
        <v>217234482</v>
      </c>
      <c r="V104" s="40">
        <f t="shared" si="5"/>
        <v>45108331</v>
      </c>
      <c r="W104" s="40">
        <f t="shared" si="6"/>
        <v>28792161</v>
      </c>
      <c r="X104" s="43">
        <f t="shared" si="7"/>
        <v>291134974</v>
      </c>
    </row>
    <row r="105" spans="1:24" ht="15.75" x14ac:dyDescent="0.3">
      <c r="A105" s="7">
        <v>56007</v>
      </c>
      <c r="B105" s="20" t="s">
        <v>299</v>
      </c>
      <c r="C105" s="7" t="s">
        <v>138</v>
      </c>
      <c r="D105" s="8">
        <v>767757638</v>
      </c>
      <c r="E105" s="8">
        <v>35617214</v>
      </c>
      <c r="F105" s="8">
        <v>432905</v>
      </c>
      <c r="G105" s="8">
        <v>2128147</v>
      </c>
      <c r="H105" s="8">
        <v>17157330</v>
      </c>
      <c r="I105" s="8">
        <v>23934226</v>
      </c>
      <c r="J105" s="8">
        <v>1</v>
      </c>
      <c r="K105" s="8">
        <v>0</v>
      </c>
      <c r="L105" s="8"/>
      <c r="M105" s="8"/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40">
        <f t="shared" si="4"/>
        <v>767757639</v>
      </c>
      <c r="V105" s="40">
        <f t="shared" si="5"/>
        <v>35617214</v>
      </c>
      <c r="W105" s="40">
        <f t="shared" si="6"/>
        <v>41091556</v>
      </c>
      <c r="X105" s="43">
        <f t="shared" si="7"/>
        <v>844466409</v>
      </c>
    </row>
    <row r="106" spans="1:24" ht="15.75" x14ac:dyDescent="0.3">
      <c r="A106" s="7">
        <v>23003</v>
      </c>
      <c r="B106" s="20" t="s">
        <v>300</v>
      </c>
      <c r="C106" s="7" t="s">
        <v>139</v>
      </c>
      <c r="D106" s="8">
        <v>50157170</v>
      </c>
      <c r="E106" s="8">
        <v>8249500</v>
      </c>
      <c r="F106" s="8">
        <v>145240</v>
      </c>
      <c r="G106" s="8">
        <v>1296560</v>
      </c>
      <c r="H106" s="8">
        <v>3458720</v>
      </c>
      <c r="I106" s="8">
        <v>681134</v>
      </c>
      <c r="J106" s="8">
        <v>308140</v>
      </c>
      <c r="K106" s="8">
        <v>0</v>
      </c>
      <c r="L106" s="8"/>
      <c r="M106" s="8"/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40">
        <f t="shared" si="4"/>
        <v>50465310</v>
      </c>
      <c r="V106" s="40">
        <f t="shared" si="5"/>
        <v>8249500</v>
      </c>
      <c r="W106" s="40">
        <f t="shared" si="6"/>
        <v>4139854</v>
      </c>
      <c r="X106" s="43">
        <f t="shared" si="7"/>
        <v>62854664</v>
      </c>
    </row>
    <row r="107" spans="1:24" ht="15.75" x14ac:dyDescent="0.3">
      <c r="A107" s="7">
        <v>65001</v>
      </c>
      <c r="B107" s="20" t="s">
        <v>373</v>
      </c>
      <c r="C107" s="7" t="s">
        <v>140</v>
      </c>
      <c r="D107" s="8">
        <v>42824420</v>
      </c>
      <c r="E107" s="8">
        <v>2909760</v>
      </c>
      <c r="F107" s="8">
        <v>512370</v>
      </c>
      <c r="G107" s="8">
        <v>229580</v>
      </c>
      <c r="H107" s="8">
        <v>7078930</v>
      </c>
      <c r="I107" s="8">
        <v>1138109</v>
      </c>
      <c r="J107" s="8">
        <v>0</v>
      </c>
      <c r="K107" s="8">
        <v>0</v>
      </c>
      <c r="L107" s="8"/>
      <c r="M107" s="8"/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40">
        <f t="shared" si="4"/>
        <v>42824420</v>
      </c>
      <c r="V107" s="40">
        <f t="shared" si="5"/>
        <v>2909760</v>
      </c>
      <c r="W107" s="40">
        <f t="shared" si="6"/>
        <v>8217039</v>
      </c>
      <c r="X107" s="43">
        <f t="shared" si="7"/>
        <v>53951219</v>
      </c>
    </row>
    <row r="108" spans="1:24" ht="15.75" x14ac:dyDescent="0.3">
      <c r="A108" s="7">
        <v>39005</v>
      </c>
      <c r="B108" s="20" t="s">
        <v>302</v>
      </c>
      <c r="C108" s="7" t="s">
        <v>141</v>
      </c>
      <c r="D108" s="8">
        <v>276828053</v>
      </c>
      <c r="E108" s="8">
        <v>19918426</v>
      </c>
      <c r="F108" s="8">
        <v>53387</v>
      </c>
      <c r="G108" s="8">
        <v>437395</v>
      </c>
      <c r="H108" s="8">
        <v>7320315</v>
      </c>
      <c r="I108" s="8">
        <v>2050473</v>
      </c>
      <c r="J108" s="8">
        <v>17</v>
      </c>
      <c r="K108" s="8">
        <v>0</v>
      </c>
      <c r="L108" s="8"/>
      <c r="M108" s="8"/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40">
        <f t="shared" si="4"/>
        <v>276828070</v>
      </c>
      <c r="V108" s="40">
        <f t="shared" si="5"/>
        <v>19918426</v>
      </c>
      <c r="W108" s="40">
        <f t="shared" si="6"/>
        <v>9370788</v>
      </c>
      <c r="X108" s="43">
        <f t="shared" si="7"/>
        <v>306117284</v>
      </c>
    </row>
    <row r="109" spans="1:24" ht="15.75" x14ac:dyDescent="0.3">
      <c r="A109" s="7">
        <v>60004</v>
      </c>
      <c r="B109" s="20" t="s">
        <v>303</v>
      </c>
      <c r="C109" s="7" t="s">
        <v>142</v>
      </c>
      <c r="D109" s="8">
        <v>187871773</v>
      </c>
      <c r="E109" s="8">
        <v>110657956</v>
      </c>
      <c r="F109" s="8">
        <v>232970</v>
      </c>
      <c r="G109" s="8">
        <v>1489112</v>
      </c>
      <c r="H109" s="8">
        <v>23901046</v>
      </c>
      <c r="I109" s="8">
        <v>1427906</v>
      </c>
      <c r="J109" s="8">
        <v>7</v>
      </c>
      <c r="K109" s="8">
        <v>1</v>
      </c>
      <c r="L109" s="8"/>
      <c r="M109" s="8"/>
      <c r="N109" s="8">
        <v>4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40">
        <f t="shared" si="4"/>
        <v>187871780</v>
      </c>
      <c r="V109" s="40">
        <f t="shared" si="5"/>
        <v>110657957</v>
      </c>
      <c r="W109" s="40">
        <f t="shared" si="6"/>
        <v>25328956</v>
      </c>
      <c r="X109" s="43">
        <f t="shared" si="7"/>
        <v>323858693</v>
      </c>
    </row>
    <row r="110" spans="1:24" ht="15.75" x14ac:dyDescent="0.3">
      <c r="A110" s="7">
        <v>33003</v>
      </c>
      <c r="B110" s="20" t="s">
        <v>304</v>
      </c>
      <c r="C110" s="7" t="s">
        <v>143</v>
      </c>
      <c r="D110" s="8">
        <v>408903122</v>
      </c>
      <c r="E110" s="8">
        <v>86666099</v>
      </c>
      <c r="F110" s="8">
        <v>119607</v>
      </c>
      <c r="G110" s="8">
        <v>643079</v>
      </c>
      <c r="H110" s="8">
        <v>24145620</v>
      </c>
      <c r="I110" s="8">
        <v>2822737</v>
      </c>
      <c r="J110" s="8">
        <v>0</v>
      </c>
      <c r="K110" s="8">
        <v>0</v>
      </c>
      <c r="L110" s="8"/>
      <c r="M110" s="8"/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40">
        <f t="shared" si="4"/>
        <v>408903122</v>
      </c>
      <c r="V110" s="40">
        <f t="shared" si="5"/>
        <v>86666099</v>
      </c>
      <c r="W110" s="40">
        <f t="shared" si="6"/>
        <v>26968357</v>
      </c>
      <c r="X110" s="43">
        <f t="shared" si="7"/>
        <v>522537578</v>
      </c>
    </row>
    <row r="111" spans="1:24" ht="15.75" x14ac:dyDescent="0.3">
      <c r="A111" s="7">
        <v>32002</v>
      </c>
      <c r="B111" s="20" t="s">
        <v>305</v>
      </c>
      <c r="C111" s="7" t="s">
        <v>144</v>
      </c>
      <c r="D111" s="8">
        <v>200905659</v>
      </c>
      <c r="E111" s="8">
        <v>762361422</v>
      </c>
      <c r="F111" s="8">
        <v>3622292</v>
      </c>
      <c r="G111" s="8">
        <v>22221875</v>
      </c>
      <c r="H111" s="8">
        <v>387821320</v>
      </c>
      <c r="I111" s="8">
        <v>2850481</v>
      </c>
      <c r="J111" s="8">
        <v>0</v>
      </c>
      <c r="K111" s="8">
        <v>0</v>
      </c>
      <c r="L111" s="8"/>
      <c r="M111" s="8"/>
      <c r="N111" s="8">
        <v>1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40">
        <f t="shared" si="4"/>
        <v>200905659</v>
      </c>
      <c r="V111" s="40">
        <f t="shared" si="5"/>
        <v>762361422</v>
      </c>
      <c r="W111" s="40">
        <f t="shared" si="6"/>
        <v>390671802</v>
      </c>
      <c r="X111" s="43">
        <f t="shared" si="7"/>
        <v>1353938883</v>
      </c>
    </row>
    <row r="112" spans="1:24" ht="15.75" x14ac:dyDescent="0.3">
      <c r="A112" s="7">
        <v>1001</v>
      </c>
      <c r="B112" s="20" t="s">
        <v>306</v>
      </c>
      <c r="C112" s="7" t="s">
        <v>145</v>
      </c>
      <c r="D112" s="8">
        <v>283191563</v>
      </c>
      <c r="E112" s="8">
        <v>25787980</v>
      </c>
      <c r="F112" s="8">
        <v>125633</v>
      </c>
      <c r="G112" s="8">
        <v>976215</v>
      </c>
      <c r="H112" s="8">
        <v>18389716</v>
      </c>
      <c r="I112" s="8">
        <v>333567</v>
      </c>
      <c r="J112" s="8">
        <v>0</v>
      </c>
      <c r="K112" s="8">
        <v>0</v>
      </c>
      <c r="L112" s="8"/>
      <c r="M112" s="8"/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40">
        <f t="shared" si="4"/>
        <v>283191563</v>
      </c>
      <c r="V112" s="40">
        <f t="shared" si="5"/>
        <v>25787980</v>
      </c>
      <c r="W112" s="40">
        <f t="shared" si="6"/>
        <v>18723283</v>
      </c>
      <c r="X112" s="43">
        <f t="shared" si="7"/>
        <v>327702826</v>
      </c>
    </row>
    <row r="113" spans="1:24" ht="15.75" x14ac:dyDescent="0.3">
      <c r="A113" s="7">
        <v>11005</v>
      </c>
      <c r="B113" s="20" t="s">
        <v>307</v>
      </c>
      <c r="C113" s="7" t="s">
        <v>146</v>
      </c>
      <c r="D113" s="8">
        <v>569877533</v>
      </c>
      <c r="E113" s="8">
        <v>105611389</v>
      </c>
      <c r="F113" s="8">
        <v>844389</v>
      </c>
      <c r="G113" s="8">
        <v>1614478</v>
      </c>
      <c r="H113" s="8">
        <v>62802835</v>
      </c>
      <c r="I113" s="8">
        <v>1858758</v>
      </c>
      <c r="J113" s="8">
        <v>0</v>
      </c>
      <c r="K113" s="8">
        <v>0</v>
      </c>
      <c r="L113" s="8"/>
      <c r="M113" s="8"/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40">
        <f t="shared" si="4"/>
        <v>569877533</v>
      </c>
      <c r="V113" s="40">
        <f t="shared" si="5"/>
        <v>105611389</v>
      </c>
      <c r="W113" s="40">
        <f t="shared" si="6"/>
        <v>64661593</v>
      </c>
      <c r="X113" s="43">
        <f t="shared" si="7"/>
        <v>740150515</v>
      </c>
    </row>
    <row r="114" spans="1:24" ht="15.75" x14ac:dyDescent="0.3">
      <c r="A114" s="7">
        <v>51004</v>
      </c>
      <c r="B114" s="20" t="s">
        <v>372</v>
      </c>
      <c r="C114" s="7" t="s">
        <v>147</v>
      </c>
      <c r="D114" s="8">
        <v>50794178</v>
      </c>
      <c r="E114" s="8">
        <v>4542706513</v>
      </c>
      <c r="F114" s="8">
        <v>21413715</v>
      </c>
      <c r="G114" s="8">
        <v>37123939</v>
      </c>
      <c r="H114" s="8">
        <v>2790383577</v>
      </c>
      <c r="I114" s="8">
        <v>131004903</v>
      </c>
      <c r="J114" s="8">
        <v>0</v>
      </c>
      <c r="K114" s="8">
        <v>0</v>
      </c>
      <c r="L114" s="8"/>
      <c r="M114" s="8"/>
      <c r="N114" s="8">
        <v>4451325</v>
      </c>
      <c r="O114" s="8">
        <v>4562</v>
      </c>
      <c r="P114" s="8">
        <v>51750288</v>
      </c>
      <c r="Q114" s="8">
        <v>0</v>
      </c>
      <c r="R114" s="8">
        <v>0</v>
      </c>
      <c r="S114" s="8">
        <v>92594634</v>
      </c>
      <c r="T114" s="8">
        <v>0</v>
      </c>
      <c r="U114" s="40">
        <f t="shared" si="4"/>
        <v>50798740</v>
      </c>
      <c r="V114" s="40">
        <f t="shared" si="5"/>
        <v>4594456801</v>
      </c>
      <c r="W114" s="40">
        <f t="shared" si="6"/>
        <v>3018434439</v>
      </c>
      <c r="X114" s="43">
        <f t="shared" si="7"/>
        <v>7663689980</v>
      </c>
    </row>
    <row r="115" spans="1:24" ht="15.75" x14ac:dyDescent="0.3">
      <c r="A115" s="7">
        <v>56004</v>
      </c>
      <c r="B115" s="20" t="s">
        <v>309</v>
      </c>
      <c r="C115" s="7" t="s">
        <v>148</v>
      </c>
      <c r="D115" s="8">
        <v>450195016</v>
      </c>
      <c r="E115" s="8">
        <v>80311205</v>
      </c>
      <c r="F115" s="8">
        <v>301881</v>
      </c>
      <c r="G115" s="8">
        <v>1615164</v>
      </c>
      <c r="H115" s="8">
        <v>60818617</v>
      </c>
      <c r="I115" s="8">
        <v>30324010</v>
      </c>
      <c r="J115" s="8">
        <v>1</v>
      </c>
      <c r="K115" s="8">
        <v>2</v>
      </c>
      <c r="L115" s="8"/>
      <c r="M115" s="8"/>
      <c r="N115" s="8">
        <v>2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40">
        <f t="shared" si="4"/>
        <v>450195017</v>
      </c>
      <c r="V115" s="40">
        <f t="shared" si="5"/>
        <v>80311207</v>
      </c>
      <c r="W115" s="40">
        <f t="shared" si="6"/>
        <v>91142629</v>
      </c>
      <c r="X115" s="43">
        <f t="shared" si="7"/>
        <v>621648853</v>
      </c>
    </row>
    <row r="116" spans="1:24" ht="15.75" x14ac:dyDescent="0.3">
      <c r="A116" s="7">
        <v>54004</v>
      </c>
      <c r="B116" s="20" t="s">
        <v>310</v>
      </c>
      <c r="C116" s="7" t="s">
        <v>149</v>
      </c>
      <c r="D116" s="8">
        <v>167537746</v>
      </c>
      <c r="E116" s="8">
        <v>19914185</v>
      </c>
      <c r="F116" s="8">
        <v>49827</v>
      </c>
      <c r="G116" s="8">
        <v>491473</v>
      </c>
      <c r="H116" s="8">
        <v>15838724</v>
      </c>
      <c r="I116" s="8">
        <v>1640435</v>
      </c>
      <c r="J116" s="8">
        <v>0</v>
      </c>
      <c r="K116" s="8">
        <v>0</v>
      </c>
      <c r="L116" s="8"/>
      <c r="M116" s="8"/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40">
        <f t="shared" si="4"/>
        <v>167537746</v>
      </c>
      <c r="V116" s="40">
        <f t="shared" si="5"/>
        <v>19914185</v>
      </c>
      <c r="W116" s="40">
        <f t="shared" si="6"/>
        <v>17479159</v>
      </c>
      <c r="X116" s="43">
        <f t="shared" si="7"/>
        <v>204931090</v>
      </c>
    </row>
    <row r="117" spans="1:24" ht="15.75" x14ac:dyDescent="0.3">
      <c r="A117" s="7">
        <v>39004</v>
      </c>
      <c r="B117" s="20" t="s">
        <v>311</v>
      </c>
      <c r="C117" s="7" t="s">
        <v>150</v>
      </c>
      <c r="D117" s="8">
        <v>178111134</v>
      </c>
      <c r="E117" s="8">
        <v>27017377</v>
      </c>
      <c r="F117" s="8">
        <v>103096</v>
      </c>
      <c r="G117" s="8">
        <v>399134</v>
      </c>
      <c r="H117" s="8">
        <v>1539039</v>
      </c>
      <c r="I117" s="8">
        <v>857937</v>
      </c>
      <c r="J117" s="8">
        <v>2356</v>
      </c>
      <c r="K117" s="8">
        <v>0</v>
      </c>
      <c r="L117" s="8"/>
      <c r="M117" s="8"/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40">
        <f t="shared" si="4"/>
        <v>178113490</v>
      </c>
      <c r="V117" s="40">
        <f t="shared" si="5"/>
        <v>27017377</v>
      </c>
      <c r="W117" s="40">
        <f t="shared" si="6"/>
        <v>2396976</v>
      </c>
      <c r="X117" s="43">
        <f t="shared" si="7"/>
        <v>207527843</v>
      </c>
    </row>
    <row r="118" spans="1:24" ht="15.75" x14ac:dyDescent="0.3">
      <c r="A118" s="7">
        <v>55005</v>
      </c>
      <c r="B118" s="20" t="s">
        <v>312</v>
      </c>
      <c r="C118" s="7" t="s">
        <v>151</v>
      </c>
      <c r="D118" s="8">
        <v>384731339</v>
      </c>
      <c r="E118" s="8">
        <v>24236585</v>
      </c>
      <c r="F118" s="8">
        <v>201793</v>
      </c>
      <c r="G118" s="8">
        <v>818416</v>
      </c>
      <c r="H118" s="8">
        <v>8501594</v>
      </c>
      <c r="I118" s="8">
        <v>872219</v>
      </c>
      <c r="J118" s="8">
        <v>0</v>
      </c>
      <c r="K118" s="8">
        <v>164549</v>
      </c>
      <c r="L118" s="8"/>
      <c r="M118" s="8"/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40">
        <f t="shared" si="4"/>
        <v>384731339</v>
      </c>
      <c r="V118" s="40">
        <f t="shared" si="5"/>
        <v>24401134</v>
      </c>
      <c r="W118" s="40">
        <f t="shared" si="6"/>
        <v>9373813</v>
      </c>
      <c r="X118" s="43">
        <f t="shared" si="7"/>
        <v>418506286</v>
      </c>
    </row>
    <row r="119" spans="1:24" ht="15.75" x14ac:dyDescent="0.3">
      <c r="A119" s="7">
        <v>4003</v>
      </c>
      <c r="B119" s="20" t="s">
        <v>313</v>
      </c>
      <c r="C119" s="7" t="s">
        <v>152</v>
      </c>
      <c r="D119" s="8">
        <v>340514518</v>
      </c>
      <c r="E119" s="8">
        <v>36232600</v>
      </c>
      <c r="F119" s="8">
        <v>160194</v>
      </c>
      <c r="G119" s="8">
        <v>1636368</v>
      </c>
      <c r="H119" s="8">
        <v>17665441</v>
      </c>
      <c r="I119" s="8">
        <v>2722210</v>
      </c>
      <c r="J119" s="8">
        <v>1</v>
      </c>
      <c r="K119" s="8">
        <v>0</v>
      </c>
      <c r="L119" s="8"/>
      <c r="M119" s="8"/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40">
        <f t="shared" si="4"/>
        <v>340514519</v>
      </c>
      <c r="V119" s="40">
        <f t="shared" si="5"/>
        <v>36232600</v>
      </c>
      <c r="W119" s="40">
        <f t="shared" si="6"/>
        <v>20387651</v>
      </c>
      <c r="X119" s="43">
        <f t="shared" si="7"/>
        <v>397134770</v>
      </c>
    </row>
    <row r="120" spans="1:24" ht="15.75" x14ac:dyDescent="0.3">
      <c r="A120" s="7">
        <v>62005</v>
      </c>
      <c r="B120" s="20" t="s">
        <v>371</v>
      </c>
      <c r="C120" s="7" t="s">
        <v>153</v>
      </c>
      <c r="D120" s="8">
        <v>529896580</v>
      </c>
      <c r="E120" s="8">
        <v>41914918</v>
      </c>
      <c r="F120" s="8">
        <v>3386118</v>
      </c>
      <c r="G120" s="8">
        <v>4592430</v>
      </c>
      <c r="H120" s="8">
        <v>37537332</v>
      </c>
      <c r="I120" s="8">
        <v>10645979</v>
      </c>
      <c r="J120" s="8">
        <v>0</v>
      </c>
      <c r="K120" s="8">
        <v>0</v>
      </c>
      <c r="L120" s="8"/>
      <c r="M120" s="8"/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40">
        <f t="shared" si="4"/>
        <v>529896580</v>
      </c>
      <c r="V120" s="40">
        <f t="shared" si="5"/>
        <v>41914918</v>
      </c>
      <c r="W120" s="40">
        <f t="shared" si="6"/>
        <v>48183311</v>
      </c>
      <c r="X120" s="43">
        <f t="shared" si="7"/>
        <v>619994809</v>
      </c>
    </row>
    <row r="121" spans="1:24" ht="15.75" x14ac:dyDescent="0.3">
      <c r="A121" s="7">
        <v>49005</v>
      </c>
      <c r="B121" s="20" t="s">
        <v>315</v>
      </c>
      <c r="C121" s="7" t="s">
        <v>154</v>
      </c>
      <c r="D121" s="8">
        <v>17581118</v>
      </c>
      <c r="E121" s="8">
        <v>6807393932</v>
      </c>
      <c r="F121" s="8">
        <v>17241031</v>
      </c>
      <c r="G121" s="8">
        <v>30238897</v>
      </c>
      <c r="H121" s="8">
        <v>4918788385</v>
      </c>
      <c r="I121" s="8">
        <v>166464464</v>
      </c>
      <c r="J121" s="8">
        <v>0</v>
      </c>
      <c r="K121" s="8">
        <v>0</v>
      </c>
      <c r="L121" s="8"/>
      <c r="M121" s="8"/>
      <c r="N121" s="8">
        <v>2742503</v>
      </c>
      <c r="O121" s="8">
        <v>0</v>
      </c>
      <c r="P121" s="8">
        <v>193386</v>
      </c>
      <c r="Q121" s="8">
        <v>0</v>
      </c>
      <c r="R121" s="8">
        <v>0</v>
      </c>
      <c r="S121" s="8">
        <v>27920881</v>
      </c>
      <c r="T121" s="8">
        <v>0</v>
      </c>
      <c r="U121" s="40">
        <f t="shared" si="4"/>
        <v>17581118</v>
      </c>
      <c r="V121" s="40">
        <f t="shared" si="5"/>
        <v>6807587318</v>
      </c>
      <c r="W121" s="40">
        <f t="shared" si="6"/>
        <v>5115916233</v>
      </c>
      <c r="X121" s="43">
        <f t="shared" si="7"/>
        <v>11941084669</v>
      </c>
    </row>
    <row r="122" spans="1:24" ht="15.75" x14ac:dyDescent="0.3">
      <c r="A122" s="7">
        <v>5005</v>
      </c>
      <c r="B122" s="20" t="s">
        <v>316</v>
      </c>
      <c r="C122" s="7" t="s">
        <v>155</v>
      </c>
      <c r="D122" s="8">
        <v>233035499</v>
      </c>
      <c r="E122" s="8">
        <v>138284930</v>
      </c>
      <c r="F122" s="8">
        <v>942535</v>
      </c>
      <c r="G122" s="8">
        <v>2129192</v>
      </c>
      <c r="H122" s="8">
        <v>54311095</v>
      </c>
      <c r="I122" s="8">
        <v>1497010</v>
      </c>
      <c r="J122" s="8">
        <v>0</v>
      </c>
      <c r="K122" s="8">
        <v>0</v>
      </c>
      <c r="L122" s="8"/>
      <c r="M122" s="8"/>
      <c r="N122" s="8">
        <v>0</v>
      </c>
      <c r="O122" s="8">
        <v>0</v>
      </c>
      <c r="P122" s="8">
        <v>11335080</v>
      </c>
      <c r="Q122" s="8">
        <v>0</v>
      </c>
      <c r="R122" s="8">
        <v>0</v>
      </c>
      <c r="S122" s="8">
        <v>2327530</v>
      </c>
      <c r="T122" s="8">
        <v>0</v>
      </c>
      <c r="U122" s="40">
        <f t="shared" si="4"/>
        <v>233035499</v>
      </c>
      <c r="V122" s="40">
        <f t="shared" si="5"/>
        <v>149620010</v>
      </c>
      <c r="W122" s="40">
        <f t="shared" si="6"/>
        <v>58135635</v>
      </c>
      <c r="X122" s="43">
        <f t="shared" si="7"/>
        <v>440791144</v>
      </c>
    </row>
    <row r="123" spans="1:24" ht="15.75" x14ac:dyDescent="0.3">
      <c r="A123" s="7">
        <v>54002</v>
      </c>
      <c r="B123" s="20" t="s">
        <v>317</v>
      </c>
      <c r="C123" s="7" t="s">
        <v>156</v>
      </c>
      <c r="D123" s="8">
        <v>491098271</v>
      </c>
      <c r="E123" s="8">
        <v>123050174</v>
      </c>
      <c r="F123" s="8">
        <v>1773063</v>
      </c>
      <c r="G123" s="8">
        <v>3932066</v>
      </c>
      <c r="H123" s="8">
        <v>81708578</v>
      </c>
      <c r="I123" s="8">
        <v>7303622</v>
      </c>
      <c r="J123" s="8">
        <v>0</v>
      </c>
      <c r="K123" s="8">
        <v>0</v>
      </c>
      <c r="L123" s="8"/>
      <c r="M123" s="8"/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40">
        <f t="shared" si="4"/>
        <v>491098271</v>
      </c>
      <c r="V123" s="40">
        <f t="shared" si="5"/>
        <v>123050174</v>
      </c>
      <c r="W123" s="40">
        <f t="shared" si="6"/>
        <v>89012200</v>
      </c>
      <c r="X123" s="43">
        <f t="shared" si="7"/>
        <v>703160645</v>
      </c>
    </row>
    <row r="124" spans="1:24" ht="15.75" x14ac:dyDescent="0.3">
      <c r="A124" s="7">
        <v>15003</v>
      </c>
      <c r="B124" s="20" t="s">
        <v>318</v>
      </c>
      <c r="C124" s="7" t="s">
        <v>157</v>
      </c>
      <c r="D124" s="8">
        <v>12000966</v>
      </c>
      <c r="E124" s="8">
        <v>113601</v>
      </c>
      <c r="F124" s="8">
        <v>1676</v>
      </c>
      <c r="G124" s="8">
        <v>61882</v>
      </c>
      <c r="H124" s="8">
        <v>288625</v>
      </c>
      <c r="I124" s="8">
        <v>241914</v>
      </c>
      <c r="J124" s="8">
        <v>0</v>
      </c>
      <c r="K124" s="8">
        <v>0</v>
      </c>
      <c r="L124" s="8"/>
      <c r="M124" s="8"/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40">
        <f t="shared" si="4"/>
        <v>12000966</v>
      </c>
      <c r="V124" s="40">
        <f t="shared" si="5"/>
        <v>113601</v>
      </c>
      <c r="W124" s="40">
        <f t="shared" si="6"/>
        <v>530539</v>
      </c>
      <c r="X124" s="43">
        <f t="shared" si="7"/>
        <v>12645106</v>
      </c>
    </row>
    <row r="125" spans="1:24" ht="15.75" x14ac:dyDescent="0.3">
      <c r="A125" s="7">
        <v>26005</v>
      </c>
      <c r="B125" s="20" t="s">
        <v>319</v>
      </c>
      <c r="C125" s="7" t="s">
        <v>158</v>
      </c>
      <c r="D125" s="8">
        <v>123989634</v>
      </c>
      <c r="E125" s="8">
        <v>17127950</v>
      </c>
      <c r="F125" s="8">
        <v>362024</v>
      </c>
      <c r="G125" s="8">
        <v>735967</v>
      </c>
      <c r="H125" s="8">
        <v>10999312</v>
      </c>
      <c r="I125" s="8">
        <v>0</v>
      </c>
      <c r="J125" s="8">
        <v>0</v>
      </c>
      <c r="K125" s="8">
        <v>0</v>
      </c>
      <c r="L125" s="8"/>
      <c r="M125" s="8"/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40">
        <f t="shared" si="4"/>
        <v>123989634</v>
      </c>
      <c r="V125" s="40">
        <f t="shared" si="5"/>
        <v>17127950</v>
      </c>
      <c r="W125" s="40">
        <f t="shared" si="6"/>
        <v>10999312</v>
      </c>
      <c r="X125" s="43">
        <f t="shared" si="7"/>
        <v>152116896</v>
      </c>
    </row>
    <row r="126" spans="1:24" ht="15.75" x14ac:dyDescent="0.3">
      <c r="A126" s="7">
        <v>40002</v>
      </c>
      <c r="B126" s="20" t="s">
        <v>320</v>
      </c>
      <c r="C126" s="7" t="s">
        <v>159</v>
      </c>
      <c r="D126" s="8">
        <v>44811956</v>
      </c>
      <c r="E126" s="8">
        <v>863730409</v>
      </c>
      <c r="F126" s="8">
        <v>7807661</v>
      </c>
      <c r="G126" s="8">
        <v>20438708</v>
      </c>
      <c r="H126" s="8">
        <v>479346684</v>
      </c>
      <c r="I126" s="8">
        <v>21084563</v>
      </c>
      <c r="J126" s="8">
        <v>0</v>
      </c>
      <c r="K126" s="8">
        <v>0</v>
      </c>
      <c r="L126" s="8"/>
      <c r="M126" s="8"/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40">
        <f t="shared" si="4"/>
        <v>44811956</v>
      </c>
      <c r="V126" s="40">
        <f t="shared" si="5"/>
        <v>863730409</v>
      </c>
      <c r="W126" s="40">
        <f t="shared" si="6"/>
        <v>500431247</v>
      </c>
      <c r="X126" s="43">
        <f t="shared" si="7"/>
        <v>1408973612</v>
      </c>
    </row>
    <row r="127" spans="1:24" ht="15.75" x14ac:dyDescent="0.3">
      <c r="A127" s="7">
        <v>57001</v>
      </c>
      <c r="B127" s="20" t="s">
        <v>321</v>
      </c>
      <c r="C127" s="7" t="s">
        <v>160</v>
      </c>
      <c r="D127" s="420">
        <v>299587122</v>
      </c>
      <c r="E127" s="8">
        <v>157779136</v>
      </c>
      <c r="F127" s="8">
        <v>1223248</v>
      </c>
      <c r="G127" s="420">
        <v>6532452</v>
      </c>
      <c r="H127" s="8">
        <v>95778473</v>
      </c>
      <c r="I127" s="8">
        <v>1978825</v>
      </c>
      <c r="J127" s="8">
        <v>0</v>
      </c>
      <c r="K127" s="8">
        <v>0</v>
      </c>
      <c r="L127" s="8"/>
      <c r="M127" s="8"/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40">
        <f t="shared" si="4"/>
        <v>299587122</v>
      </c>
      <c r="V127" s="40">
        <f t="shared" si="5"/>
        <v>157779136</v>
      </c>
      <c r="W127" s="40">
        <f t="shared" si="6"/>
        <v>97757298</v>
      </c>
      <c r="X127" s="43">
        <f t="shared" si="7"/>
        <v>555123556</v>
      </c>
    </row>
    <row r="128" spans="1:24" ht="15.75" x14ac:dyDescent="0.3">
      <c r="A128" s="7">
        <v>54006</v>
      </c>
      <c r="B128" s="20" t="s">
        <v>322</v>
      </c>
      <c r="C128" s="7" t="s">
        <v>161</v>
      </c>
      <c r="D128" s="8">
        <v>113707863</v>
      </c>
      <c r="E128" s="8">
        <v>8591028</v>
      </c>
      <c r="F128" s="8">
        <v>176598</v>
      </c>
      <c r="G128" s="8">
        <v>475940</v>
      </c>
      <c r="H128" s="8">
        <v>5362714</v>
      </c>
      <c r="I128" s="8">
        <v>5567076</v>
      </c>
      <c r="J128" s="8">
        <v>0</v>
      </c>
      <c r="K128" s="8">
        <v>0</v>
      </c>
      <c r="L128" s="8"/>
      <c r="M128" s="8"/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40">
        <f t="shared" si="4"/>
        <v>113707863</v>
      </c>
      <c r="V128" s="40">
        <f t="shared" si="5"/>
        <v>8591028</v>
      </c>
      <c r="W128" s="40">
        <f t="shared" si="6"/>
        <v>10929790</v>
      </c>
      <c r="X128" s="43">
        <f t="shared" si="7"/>
        <v>133228681</v>
      </c>
    </row>
    <row r="129" spans="1:24" ht="15.75" x14ac:dyDescent="0.3">
      <c r="A129" s="7">
        <v>41005</v>
      </c>
      <c r="B129" s="20" t="s">
        <v>323</v>
      </c>
      <c r="C129" s="7" t="s">
        <v>162</v>
      </c>
      <c r="D129" s="8">
        <v>25906957</v>
      </c>
      <c r="E129" s="8">
        <v>379367633</v>
      </c>
      <c r="F129" s="8">
        <v>0</v>
      </c>
      <c r="G129" s="8">
        <v>345077</v>
      </c>
      <c r="H129" s="8">
        <v>166618072</v>
      </c>
      <c r="I129" s="8">
        <v>3588277</v>
      </c>
      <c r="J129" s="8">
        <v>0</v>
      </c>
      <c r="K129" s="8">
        <v>0</v>
      </c>
      <c r="L129" s="8"/>
      <c r="M129" s="8"/>
      <c r="N129" s="8">
        <v>5671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40">
        <f t="shared" si="4"/>
        <v>25906957</v>
      </c>
      <c r="V129" s="40">
        <f t="shared" si="5"/>
        <v>379367633</v>
      </c>
      <c r="W129" s="40">
        <f t="shared" si="6"/>
        <v>170212020</v>
      </c>
      <c r="X129" s="43">
        <f t="shared" si="7"/>
        <v>575486610</v>
      </c>
    </row>
    <row r="130" spans="1:24" ht="15.75" x14ac:dyDescent="0.3">
      <c r="A130" s="7">
        <v>20003</v>
      </c>
      <c r="B130" s="20" t="s">
        <v>324</v>
      </c>
      <c r="C130" s="7" t="s">
        <v>163</v>
      </c>
      <c r="D130" s="8">
        <v>192663883</v>
      </c>
      <c r="E130" s="8">
        <v>11921293</v>
      </c>
      <c r="F130" s="8">
        <v>647618</v>
      </c>
      <c r="G130" s="8">
        <v>2425644</v>
      </c>
      <c r="H130" s="8">
        <v>8734038</v>
      </c>
      <c r="I130" s="8">
        <v>6473</v>
      </c>
      <c r="J130" s="8">
        <v>0</v>
      </c>
      <c r="K130" s="8">
        <v>0</v>
      </c>
      <c r="L130" s="8"/>
      <c r="M130" s="8"/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40">
        <f t="shared" si="4"/>
        <v>192663883</v>
      </c>
      <c r="V130" s="40">
        <f t="shared" si="5"/>
        <v>11921293</v>
      </c>
      <c r="W130" s="40">
        <f t="shared" si="6"/>
        <v>8740511</v>
      </c>
      <c r="X130" s="43">
        <f t="shared" si="7"/>
        <v>213325687</v>
      </c>
    </row>
    <row r="131" spans="1:24" ht="15.75" x14ac:dyDescent="0.3">
      <c r="A131" s="7">
        <v>66001</v>
      </c>
      <c r="B131" s="20" t="s">
        <v>325</v>
      </c>
      <c r="C131" s="7" t="s">
        <v>164</v>
      </c>
      <c r="D131" s="8">
        <v>162662569</v>
      </c>
      <c r="E131" s="8">
        <v>13046344</v>
      </c>
      <c r="F131" s="8">
        <v>333006</v>
      </c>
      <c r="G131" s="8">
        <v>2011121</v>
      </c>
      <c r="H131" s="8">
        <v>12199568</v>
      </c>
      <c r="I131" s="8">
        <v>613093</v>
      </c>
      <c r="J131" s="8">
        <v>0</v>
      </c>
      <c r="K131" s="8">
        <v>0</v>
      </c>
      <c r="L131" s="8"/>
      <c r="M131" s="8"/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40">
        <f t="shared" si="4"/>
        <v>162662569</v>
      </c>
      <c r="V131" s="40">
        <f t="shared" si="5"/>
        <v>13046344</v>
      </c>
      <c r="W131" s="40">
        <f t="shared" si="6"/>
        <v>12812661</v>
      </c>
      <c r="X131" s="43">
        <f t="shared" si="7"/>
        <v>188521574</v>
      </c>
    </row>
    <row r="132" spans="1:24" ht="15.75" x14ac:dyDescent="0.3">
      <c r="A132" s="7">
        <v>33005</v>
      </c>
      <c r="B132" s="20" t="s">
        <v>326</v>
      </c>
      <c r="C132" s="7" t="s">
        <v>165</v>
      </c>
      <c r="D132" s="8">
        <v>319910345</v>
      </c>
      <c r="E132" s="8">
        <v>25047336</v>
      </c>
      <c r="F132" s="8">
        <v>98183</v>
      </c>
      <c r="G132" s="8">
        <v>458236</v>
      </c>
      <c r="H132" s="8">
        <v>22103652</v>
      </c>
      <c r="I132" s="8">
        <v>2634739</v>
      </c>
      <c r="J132" s="8">
        <v>1</v>
      </c>
      <c r="K132" s="8">
        <v>0</v>
      </c>
      <c r="L132" s="8"/>
      <c r="M132" s="8"/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40">
        <f t="shared" si="4"/>
        <v>319910346</v>
      </c>
      <c r="V132" s="40">
        <f t="shared" si="5"/>
        <v>25047336</v>
      </c>
      <c r="W132" s="40">
        <f t="shared" si="6"/>
        <v>24738391</v>
      </c>
      <c r="X132" s="43">
        <f t="shared" si="7"/>
        <v>369696073</v>
      </c>
    </row>
    <row r="133" spans="1:24" ht="15.75" x14ac:dyDescent="0.3">
      <c r="A133" s="7">
        <v>49006</v>
      </c>
      <c r="B133" s="20" t="s">
        <v>327</v>
      </c>
      <c r="C133" s="7" t="s">
        <v>166</v>
      </c>
      <c r="D133" s="8">
        <v>184259227</v>
      </c>
      <c r="E133" s="8">
        <v>287979468</v>
      </c>
      <c r="F133" s="8">
        <v>219350</v>
      </c>
      <c r="G133" s="8">
        <v>566724</v>
      </c>
      <c r="H133" s="8">
        <v>122407445</v>
      </c>
      <c r="I133" s="8">
        <v>3333489</v>
      </c>
      <c r="J133" s="8">
        <v>0</v>
      </c>
      <c r="K133" s="8">
        <v>0</v>
      </c>
      <c r="L133" s="8"/>
      <c r="M133" s="8"/>
      <c r="N133" s="8">
        <v>437763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40">
        <f t="shared" ref="U133:U151" si="8">D133+J133+O133</f>
        <v>184259227</v>
      </c>
      <c r="V133" s="40">
        <f t="shared" ref="V133:V151" si="9">E133+K133+P133</f>
        <v>287979468</v>
      </c>
      <c r="W133" s="40">
        <f t="shared" ref="W133:W151" si="10">H133+I133+N133+S133+T133</f>
        <v>126178697</v>
      </c>
      <c r="X133" s="43">
        <f t="shared" ref="X133:X151" si="11">U133+V133+W133</f>
        <v>598417392</v>
      </c>
    </row>
    <row r="134" spans="1:24" ht="15.75" x14ac:dyDescent="0.3">
      <c r="A134" s="7">
        <v>13001</v>
      </c>
      <c r="B134" s="20" t="s">
        <v>328</v>
      </c>
      <c r="C134" s="7" t="s">
        <v>167</v>
      </c>
      <c r="D134" s="8">
        <v>254446814</v>
      </c>
      <c r="E134" s="8">
        <v>298731062</v>
      </c>
      <c r="F134" s="8">
        <v>3043999</v>
      </c>
      <c r="G134" s="8">
        <v>2296247</v>
      </c>
      <c r="H134" s="8">
        <v>207699319</v>
      </c>
      <c r="I134" s="8">
        <v>2350187</v>
      </c>
      <c r="J134" s="8">
        <v>1</v>
      </c>
      <c r="K134" s="8">
        <v>0</v>
      </c>
      <c r="L134" s="8"/>
      <c r="M134" s="8"/>
      <c r="N134" s="8">
        <v>2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40">
        <f t="shared" si="8"/>
        <v>254446815</v>
      </c>
      <c r="V134" s="40">
        <f t="shared" si="9"/>
        <v>298731062</v>
      </c>
      <c r="W134" s="40">
        <f t="shared" si="10"/>
        <v>210049508</v>
      </c>
      <c r="X134" s="43">
        <f t="shared" si="11"/>
        <v>763227385</v>
      </c>
    </row>
    <row r="135" spans="1:24" ht="15.75" x14ac:dyDescent="0.3">
      <c r="A135" s="7">
        <v>60006</v>
      </c>
      <c r="B135" s="20" t="s">
        <v>370</v>
      </c>
      <c r="C135" s="7" t="s">
        <v>168</v>
      </c>
      <c r="D135" s="8">
        <v>300997878</v>
      </c>
      <c r="E135" s="8">
        <v>83623934</v>
      </c>
      <c r="F135" s="8">
        <v>266460</v>
      </c>
      <c r="G135" s="8">
        <v>2188930</v>
      </c>
      <c r="H135" s="8">
        <v>33701565</v>
      </c>
      <c r="I135" s="8">
        <v>225119</v>
      </c>
      <c r="J135" s="8">
        <v>9</v>
      </c>
      <c r="K135" s="8">
        <v>0</v>
      </c>
      <c r="L135" s="8"/>
      <c r="M135" s="8"/>
      <c r="N135" s="8">
        <v>6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40">
        <f t="shared" si="8"/>
        <v>300997887</v>
      </c>
      <c r="V135" s="40">
        <f t="shared" si="9"/>
        <v>83623934</v>
      </c>
      <c r="W135" s="40">
        <f t="shared" si="10"/>
        <v>33926690</v>
      </c>
      <c r="X135" s="43">
        <f t="shared" si="11"/>
        <v>418548511</v>
      </c>
    </row>
    <row r="136" spans="1:24" ht="15.75" x14ac:dyDescent="0.3">
      <c r="A136" s="7">
        <v>11004</v>
      </c>
      <c r="B136" s="20" t="s">
        <v>369</v>
      </c>
      <c r="C136" s="7" t="s">
        <v>169</v>
      </c>
      <c r="D136" s="8">
        <v>297429253</v>
      </c>
      <c r="E136" s="8">
        <v>54861509</v>
      </c>
      <c r="F136" s="8">
        <v>529268</v>
      </c>
      <c r="G136" s="8">
        <v>1459705</v>
      </c>
      <c r="H136" s="8">
        <v>33126381</v>
      </c>
      <c r="I136" s="8">
        <v>1391831</v>
      </c>
      <c r="J136" s="8">
        <v>0</v>
      </c>
      <c r="K136" s="8">
        <v>0</v>
      </c>
      <c r="L136" s="8"/>
      <c r="M136" s="8"/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40">
        <f t="shared" si="8"/>
        <v>297429253</v>
      </c>
      <c r="V136" s="40">
        <f t="shared" si="9"/>
        <v>54861509</v>
      </c>
      <c r="W136" s="40">
        <f t="shared" si="10"/>
        <v>34518212</v>
      </c>
      <c r="X136" s="43">
        <f t="shared" si="11"/>
        <v>386808974</v>
      </c>
    </row>
    <row r="137" spans="1:24" ht="15.75" x14ac:dyDescent="0.3">
      <c r="A137" s="7">
        <v>51005</v>
      </c>
      <c r="B137" s="20" t="s">
        <v>331</v>
      </c>
      <c r="C137" s="7" t="s">
        <v>170</v>
      </c>
      <c r="D137" s="8">
        <v>213907526</v>
      </c>
      <c r="E137" s="8">
        <v>40684638</v>
      </c>
      <c r="F137" s="8">
        <v>1011752</v>
      </c>
      <c r="G137" s="8">
        <v>2572629</v>
      </c>
      <c r="H137" s="8">
        <v>40081612</v>
      </c>
      <c r="I137" s="8">
        <v>156554</v>
      </c>
      <c r="J137" s="8">
        <v>0</v>
      </c>
      <c r="K137" s="8">
        <v>0</v>
      </c>
      <c r="L137" s="8"/>
      <c r="M137" s="8"/>
      <c r="N137" s="8">
        <v>88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40">
        <f t="shared" si="8"/>
        <v>213907526</v>
      </c>
      <c r="V137" s="40">
        <f t="shared" si="9"/>
        <v>40684638</v>
      </c>
      <c r="W137" s="40">
        <f t="shared" si="10"/>
        <v>40238254</v>
      </c>
      <c r="X137" s="43">
        <f t="shared" si="11"/>
        <v>294830418</v>
      </c>
    </row>
    <row r="138" spans="1:24" ht="15.75" x14ac:dyDescent="0.3">
      <c r="A138" s="7">
        <v>6005</v>
      </c>
      <c r="B138" s="20" t="s">
        <v>332</v>
      </c>
      <c r="C138" s="7" t="s">
        <v>171</v>
      </c>
      <c r="D138" s="8">
        <v>207389265</v>
      </c>
      <c r="E138" s="8">
        <v>42148034</v>
      </c>
      <c r="F138" s="8">
        <v>177996</v>
      </c>
      <c r="G138" s="8">
        <v>705438</v>
      </c>
      <c r="H138" s="8">
        <v>9052811</v>
      </c>
      <c r="I138" s="8">
        <v>5541077</v>
      </c>
      <c r="J138" s="8">
        <v>0</v>
      </c>
      <c r="K138" s="8">
        <v>0</v>
      </c>
      <c r="L138" s="8"/>
      <c r="M138" s="8"/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40">
        <f t="shared" si="8"/>
        <v>207389265</v>
      </c>
      <c r="V138" s="40">
        <f t="shared" si="9"/>
        <v>42148034</v>
      </c>
      <c r="W138" s="40">
        <f t="shared" si="10"/>
        <v>14593888</v>
      </c>
      <c r="X138" s="43">
        <f t="shared" si="11"/>
        <v>264131187</v>
      </c>
    </row>
    <row r="139" spans="1:24" ht="15.75" x14ac:dyDescent="0.3">
      <c r="A139" s="7">
        <v>14004</v>
      </c>
      <c r="B139" s="20" t="s">
        <v>333</v>
      </c>
      <c r="C139" s="7" t="s">
        <v>172</v>
      </c>
      <c r="D139" s="8">
        <v>310253138</v>
      </c>
      <c r="E139" s="8">
        <v>1178481021</v>
      </c>
      <c r="F139" s="8">
        <v>5533306</v>
      </c>
      <c r="G139" s="8">
        <v>8896555</v>
      </c>
      <c r="H139" s="8">
        <v>657968444</v>
      </c>
      <c r="I139" s="8">
        <v>14847659</v>
      </c>
      <c r="J139" s="8">
        <v>1</v>
      </c>
      <c r="K139" s="8">
        <v>56155</v>
      </c>
      <c r="L139" s="8"/>
      <c r="M139" s="8"/>
      <c r="N139" s="8">
        <v>1873484</v>
      </c>
      <c r="O139" s="8">
        <v>0</v>
      </c>
      <c r="P139" s="8">
        <v>0</v>
      </c>
      <c r="Q139" s="8">
        <v>0</v>
      </c>
      <c r="R139" s="8">
        <v>0</v>
      </c>
      <c r="S139" s="8">
        <v>3707340</v>
      </c>
      <c r="T139" s="8">
        <v>0</v>
      </c>
      <c r="U139" s="40">
        <f t="shared" si="8"/>
        <v>310253139</v>
      </c>
      <c r="V139" s="40">
        <f t="shared" si="9"/>
        <v>1178537176</v>
      </c>
      <c r="W139" s="40">
        <f t="shared" si="10"/>
        <v>678396927</v>
      </c>
      <c r="X139" s="43">
        <f t="shared" si="11"/>
        <v>2167187242</v>
      </c>
    </row>
    <row r="140" spans="1:24" ht="15.75" x14ac:dyDescent="0.3">
      <c r="A140" s="7">
        <v>18003</v>
      </c>
      <c r="B140" s="20" t="s">
        <v>334</v>
      </c>
      <c r="C140" s="7" t="s">
        <v>173</v>
      </c>
      <c r="D140" s="8">
        <v>120364828</v>
      </c>
      <c r="E140" s="8">
        <v>28946447</v>
      </c>
      <c r="F140" s="8">
        <v>608838</v>
      </c>
      <c r="G140" s="8">
        <v>1170727</v>
      </c>
      <c r="H140" s="8">
        <v>31465285</v>
      </c>
      <c r="I140" s="8">
        <v>7871064</v>
      </c>
      <c r="J140" s="8">
        <v>0</v>
      </c>
      <c r="K140" s="8">
        <v>0</v>
      </c>
      <c r="L140" s="8"/>
      <c r="M140" s="8"/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40">
        <f t="shared" si="8"/>
        <v>120364828</v>
      </c>
      <c r="V140" s="40">
        <f t="shared" si="9"/>
        <v>28946447</v>
      </c>
      <c r="W140" s="40">
        <f t="shared" si="10"/>
        <v>39336349</v>
      </c>
      <c r="X140" s="43">
        <f t="shared" si="11"/>
        <v>188647624</v>
      </c>
    </row>
    <row r="141" spans="1:24" ht="15.75" x14ac:dyDescent="0.3">
      <c r="A141" s="7">
        <v>14005</v>
      </c>
      <c r="B141" s="20" t="s">
        <v>335</v>
      </c>
      <c r="C141" s="7" t="s">
        <v>174</v>
      </c>
      <c r="D141" s="8">
        <v>228406821</v>
      </c>
      <c r="E141" s="8">
        <v>22573451</v>
      </c>
      <c r="F141" s="8">
        <v>151659</v>
      </c>
      <c r="G141" s="8">
        <v>760536</v>
      </c>
      <c r="H141" s="8">
        <v>4986965</v>
      </c>
      <c r="I141" s="8">
        <v>2149188</v>
      </c>
      <c r="J141" s="8">
        <v>0</v>
      </c>
      <c r="K141" s="8">
        <v>0</v>
      </c>
      <c r="L141" s="8"/>
      <c r="M141" s="8"/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40">
        <f t="shared" si="8"/>
        <v>228406821</v>
      </c>
      <c r="V141" s="40">
        <f t="shared" si="9"/>
        <v>22573451</v>
      </c>
      <c r="W141" s="40">
        <f t="shared" si="10"/>
        <v>7136153</v>
      </c>
      <c r="X141" s="43">
        <f t="shared" si="11"/>
        <v>258116425</v>
      </c>
    </row>
    <row r="142" spans="1:24" ht="15.75" x14ac:dyDescent="0.3">
      <c r="A142" s="7">
        <v>18005</v>
      </c>
      <c r="B142" s="20" t="s">
        <v>336</v>
      </c>
      <c r="C142" s="7" t="s">
        <v>175</v>
      </c>
      <c r="D142" s="8">
        <v>379685678</v>
      </c>
      <c r="E142" s="8">
        <v>144528324</v>
      </c>
      <c r="F142" s="8">
        <v>1781864</v>
      </c>
      <c r="G142" s="8">
        <v>1555414</v>
      </c>
      <c r="H142" s="8">
        <v>127062313</v>
      </c>
      <c r="I142" s="8">
        <v>14277982</v>
      </c>
      <c r="J142" s="8">
        <v>0</v>
      </c>
      <c r="K142" s="8">
        <v>0</v>
      </c>
      <c r="L142" s="8"/>
      <c r="M142" s="8"/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40">
        <f t="shared" si="8"/>
        <v>379685678</v>
      </c>
      <c r="V142" s="40">
        <f t="shared" si="9"/>
        <v>144528324</v>
      </c>
      <c r="W142" s="40">
        <f t="shared" si="10"/>
        <v>141340295</v>
      </c>
      <c r="X142" s="43">
        <f t="shared" si="11"/>
        <v>665554297</v>
      </c>
    </row>
    <row r="143" spans="1:24" ht="15.75" x14ac:dyDescent="0.3">
      <c r="A143" s="7">
        <v>36002</v>
      </c>
      <c r="B143" s="20" t="s">
        <v>337</v>
      </c>
      <c r="C143" s="7" t="s">
        <v>176</v>
      </c>
      <c r="D143" s="8">
        <v>603239563</v>
      </c>
      <c r="E143" s="8">
        <v>31634517</v>
      </c>
      <c r="F143" s="8">
        <v>274567</v>
      </c>
      <c r="G143" s="8">
        <v>1423127</v>
      </c>
      <c r="H143" s="8">
        <v>21192016</v>
      </c>
      <c r="I143" s="8">
        <v>706993</v>
      </c>
      <c r="J143" s="8">
        <v>0</v>
      </c>
      <c r="K143" s="8">
        <v>0</v>
      </c>
      <c r="L143" s="8"/>
      <c r="M143" s="8"/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40">
        <f t="shared" si="8"/>
        <v>603239563</v>
      </c>
      <c r="V143" s="40">
        <f t="shared" si="9"/>
        <v>31634517</v>
      </c>
      <c r="W143" s="40">
        <f t="shared" si="10"/>
        <v>21899009</v>
      </c>
      <c r="X143" s="43">
        <f t="shared" si="11"/>
        <v>656773089</v>
      </c>
    </row>
    <row r="144" spans="1:24" ht="15.75" x14ac:dyDescent="0.3">
      <c r="A144" s="7">
        <v>49007</v>
      </c>
      <c r="B144" s="20" t="s">
        <v>338</v>
      </c>
      <c r="C144" s="7" t="s">
        <v>177</v>
      </c>
      <c r="D144" s="8">
        <v>161628909</v>
      </c>
      <c r="E144" s="8">
        <v>385035523</v>
      </c>
      <c r="F144" s="8">
        <v>539074</v>
      </c>
      <c r="G144" s="8">
        <v>1868357</v>
      </c>
      <c r="H144" s="8">
        <v>100375499</v>
      </c>
      <c r="I144" s="8">
        <v>21583824</v>
      </c>
      <c r="J144" s="8">
        <v>0</v>
      </c>
      <c r="K144" s="8">
        <v>0</v>
      </c>
      <c r="L144" s="8"/>
      <c r="M144" s="8"/>
      <c r="N144" s="8">
        <v>1239001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40">
        <f t="shared" si="8"/>
        <v>161628909</v>
      </c>
      <c r="V144" s="40">
        <f t="shared" si="9"/>
        <v>385035523</v>
      </c>
      <c r="W144" s="40">
        <f t="shared" si="10"/>
        <v>123198324</v>
      </c>
      <c r="X144" s="43">
        <f t="shared" si="11"/>
        <v>669862756</v>
      </c>
    </row>
    <row r="145" spans="1:24" ht="15.75" x14ac:dyDescent="0.3">
      <c r="A145" s="7">
        <v>1003</v>
      </c>
      <c r="B145" s="20" t="s">
        <v>339</v>
      </c>
      <c r="C145" s="7" t="s">
        <v>178</v>
      </c>
      <c r="D145" s="8">
        <v>228389155</v>
      </c>
      <c r="E145" s="8">
        <v>13055209</v>
      </c>
      <c r="F145" s="8">
        <v>121985</v>
      </c>
      <c r="G145" s="8">
        <v>473708</v>
      </c>
      <c r="H145" s="8">
        <v>7562146</v>
      </c>
      <c r="I145" s="8">
        <v>511665</v>
      </c>
      <c r="J145" s="8">
        <v>0</v>
      </c>
      <c r="K145" s="8">
        <v>0</v>
      </c>
      <c r="L145" s="8"/>
      <c r="M145" s="8"/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40">
        <f t="shared" si="8"/>
        <v>228389155</v>
      </c>
      <c r="V145" s="40">
        <f t="shared" si="9"/>
        <v>13055209</v>
      </c>
      <c r="W145" s="40">
        <f t="shared" si="10"/>
        <v>8073811</v>
      </c>
      <c r="X145" s="43">
        <f t="shared" si="11"/>
        <v>249518175</v>
      </c>
    </row>
    <row r="146" spans="1:24" ht="15.75" x14ac:dyDescent="0.3">
      <c r="A146" s="7">
        <v>47001</v>
      </c>
      <c r="B146" s="20" t="s">
        <v>340</v>
      </c>
      <c r="C146" s="7" t="s">
        <v>179</v>
      </c>
      <c r="D146" s="8">
        <v>136579104</v>
      </c>
      <c r="E146" s="8">
        <v>10133196</v>
      </c>
      <c r="F146" s="8">
        <v>484925</v>
      </c>
      <c r="G146" s="8">
        <v>1857604</v>
      </c>
      <c r="H146" s="8">
        <v>7123449</v>
      </c>
      <c r="I146" s="8">
        <v>85000</v>
      </c>
      <c r="J146" s="8">
        <v>0</v>
      </c>
      <c r="K146" s="8">
        <v>0</v>
      </c>
      <c r="L146" s="8"/>
      <c r="M146" s="8"/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40">
        <f t="shared" si="8"/>
        <v>136579104</v>
      </c>
      <c r="V146" s="40">
        <f t="shared" si="9"/>
        <v>10133196</v>
      </c>
      <c r="W146" s="40">
        <f t="shared" si="10"/>
        <v>7208449</v>
      </c>
      <c r="X146" s="43">
        <f t="shared" si="11"/>
        <v>153920749</v>
      </c>
    </row>
    <row r="147" spans="1:24" ht="15.75" x14ac:dyDescent="0.3">
      <c r="A147" s="7">
        <v>12003</v>
      </c>
      <c r="B147" s="20" t="s">
        <v>341</v>
      </c>
      <c r="C147" s="7" t="s">
        <v>180</v>
      </c>
      <c r="D147" s="8">
        <v>335890082</v>
      </c>
      <c r="E147" s="8">
        <v>17227740</v>
      </c>
      <c r="F147" s="8">
        <v>221483</v>
      </c>
      <c r="G147" s="8">
        <v>491502</v>
      </c>
      <c r="H147" s="8">
        <v>7000398</v>
      </c>
      <c r="I147" s="8">
        <v>31134494</v>
      </c>
      <c r="J147" s="8">
        <v>0</v>
      </c>
      <c r="K147" s="8">
        <v>0</v>
      </c>
      <c r="L147" s="8"/>
      <c r="M147" s="8"/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40">
        <f t="shared" si="8"/>
        <v>335890082</v>
      </c>
      <c r="V147" s="40">
        <f t="shared" si="9"/>
        <v>17227740</v>
      </c>
      <c r="W147" s="40">
        <f t="shared" si="10"/>
        <v>38134892</v>
      </c>
      <c r="X147" s="43">
        <f t="shared" si="11"/>
        <v>391252714</v>
      </c>
    </row>
    <row r="148" spans="1:24" ht="15.75" x14ac:dyDescent="0.3">
      <c r="A148" s="7">
        <v>54007</v>
      </c>
      <c r="B148" s="20" t="s">
        <v>342</v>
      </c>
      <c r="C148" s="7" t="s">
        <v>181</v>
      </c>
      <c r="D148" s="8">
        <v>150239646</v>
      </c>
      <c r="E148" s="8">
        <v>30776340</v>
      </c>
      <c r="F148" s="8">
        <v>770276</v>
      </c>
      <c r="G148" s="8">
        <v>1371778</v>
      </c>
      <c r="H148" s="8">
        <v>21672384</v>
      </c>
      <c r="I148" s="8">
        <v>2190879</v>
      </c>
      <c r="J148" s="8">
        <v>0</v>
      </c>
      <c r="K148" s="8">
        <v>0</v>
      </c>
      <c r="L148" s="8"/>
      <c r="M148" s="8"/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40">
        <f t="shared" si="8"/>
        <v>150239646</v>
      </c>
      <c r="V148" s="40">
        <f t="shared" si="9"/>
        <v>30776340</v>
      </c>
      <c r="W148" s="40">
        <f t="shared" si="10"/>
        <v>23863263</v>
      </c>
      <c r="X148" s="43">
        <f t="shared" si="11"/>
        <v>204879249</v>
      </c>
    </row>
    <row r="149" spans="1:24" ht="15.75" x14ac:dyDescent="0.3">
      <c r="A149" s="7">
        <v>59002</v>
      </c>
      <c r="B149" s="20" t="s">
        <v>343</v>
      </c>
      <c r="C149" s="7" t="s">
        <v>182</v>
      </c>
      <c r="D149" s="8">
        <v>603342575</v>
      </c>
      <c r="E149" s="8">
        <v>97248418</v>
      </c>
      <c r="F149" s="8">
        <v>984416</v>
      </c>
      <c r="G149" s="8">
        <v>4140727</v>
      </c>
      <c r="H149" s="8">
        <v>59408858</v>
      </c>
      <c r="I149" s="8">
        <v>512</v>
      </c>
      <c r="J149" s="8">
        <v>186223</v>
      </c>
      <c r="K149" s="8">
        <v>32600</v>
      </c>
      <c r="L149" s="8"/>
      <c r="M149" s="8"/>
      <c r="N149" s="8">
        <v>1271103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40">
        <f t="shared" si="8"/>
        <v>603528798</v>
      </c>
      <c r="V149" s="40">
        <f t="shared" si="9"/>
        <v>97281018</v>
      </c>
      <c r="W149" s="40">
        <f t="shared" si="10"/>
        <v>60680473</v>
      </c>
      <c r="X149" s="43">
        <f t="shared" si="11"/>
        <v>761490289</v>
      </c>
    </row>
    <row r="150" spans="1:24" ht="15.75" x14ac:dyDescent="0.3">
      <c r="A150" s="7">
        <v>2006</v>
      </c>
      <c r="B150" s="20" t="s">
        <v>344</v>
      </c>
      <c r="C150" s="7" t="s">
        <v>183</v>
      </c>
      <c r="D150" s="8">
        <v>435678965</v>
      </c>
      <c r="E150" s="8">
        <v>41024209</v>
      </c>
      <c r="F150" s="8">
        <v>537976</v>
      </c>
      <c r="G150" s="8">
        <v>1837489</v>
      </c>
      <c r="H150" s="8">
        <v>25189319</v>
      </c>
      <c r="I150" s="8">
        <v>7778671</v>
      </c>
      <c r="J150" s="8">
        <v>2</v>
      </c>
      <c r="K150" s="8">
        <v>0</v>
      </c>
      <c r="L150" s="8"/>
      <c r="M150" s="8"/>
      <c r="N150" s="8">
        <v>1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40">
        <f t="shared" si="8"/>
        <v>435678967</v>
      </c>
      <c r="V150" s="40">
        <f t="shared" si="9"/>
        <v>41024209</v>
      </c>
      <c r="W150" s="40">
        <f t="shared" si="10"/>
        <v>32967991</v>
      </c>
      <c r="X150" s="43">
        <f t="shared" si="11"/>
        <v>509671167</v>
      </c>
    </row>
    <row r="151" spans="1:24" ht="15.75" x14ac:dyDescent="0.3">
      <c r="A151" s="7">
        <v>55004</v>
      </c>
      <c r="B151" s="20" t="s">
        <v>345</v>
      </c>
      <c r="C151" s="7" t="s">
        <v>184</v>
      </c>
      <c r="D151" s="8">
        <v>193657360</v>
      </c>
      <c r="E151" s="8">
        <v>24814463</v>
      </c>
      <c r="F151" s="8">
        <v>206270</v>
      </c>
      <c r="G151" s="8">
        <v>778131</v>
      </c>
      <c r="H151" s="8">
        <v>11903318</v>
      </c>
      <c r="I151" s="8">
        <v>2031066</v>
      </c>
      <c r="J151" s="8">
        <v>0</v>
      </c>
      <c r="K151" s="8">
        <v>1</v>
      </c>
      <c r="L151" s="8"/>
      <c r="M151" s="8"/>
      <c r="N151" s="8">
        <v>1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40">
        <f t="shared" si="8"/>
        <v>193657360</v>
      </c>
      <c r="V151" s="40">
        <f t="shared" si="9"/>
        <v>24814464</v>
      </c>
      <c r="W151" s="40">
        <f t="shared" si="10"/>
        <v>13934385</v>
      </c>
      <c r="X151" s="43">
        <f t="shared" si="11"/>
        <v>232406209</v>
      </c>
    </row>
    <row r="152" spans="1:24" ht="15.75" x14ac:dyDescent="0.3">
      <c r="A152" s="7">
        <v>63003</v>
      </c>
      <c r="B152" s="20" t="s">
        <v>346</v>
      </c>
      <c r="C152" s="7" t="s">
        <v>185</v>
      </c>
      <c r="D152" s="8">
        <v>233142815</v>
      </c>
      <c r="E152" s="8">
        <v>825510112</v>
      </c>
      <c r="F152" s="8">
        <v>4275085</v>
      </c>
      <c r="G152" s="8">
        <v>6787748</v>
      </c>
      <c r="H152" s="8">
        <v>410787059</v>
      </c>
      <c r="I152" s="8">
        <v>45313282</v>
      </c>
      <c r="J152" s="8">
        <v>0</v>
      </c>
      <c r="K152" s="8">
        <v>0</v>
      </c>
      <c r="L152" s="8"/>
      <c r="M152" s="8"/>
      <c r="N152" s="8">
        <v>2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40">
        <f>D152+J152+O152</f>
        <v>233142815</v>
      </c>
      <c r="V152" s="40">
        <f>E152+K152+P152</f>
        <v>825510112</v>
      </c>
      <c r="W152" s="40">
        <f>H152+I152+N152+S152+T152</f>
        <v>456100343</v>
      </c>
      <c r="X152" s="43">
        <f>U152+V152+W152</f>
        <v>1514753270</v>
      </c>
    </row>
    <row r="153" spans="1:24" s="9" customFormat="1" ht="3.75" customHeight="1" x14ac:dyDescent="0.25">
      <c r="A153" s="7"/>
      <c r="B153" s="7"/>
      <c r="C153" s="7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40"/>
      <c r="V153" s="40"/>
      <c r="W153" s="40"/>
      <c r="X153" s="43"/>
    </row>
    <row r="154" spans="1:24" x14ac:dyDescent="0.25">
      <c r="A154" s="3"/>
      <c r="B154" s="3"/>
      <c r="C154" s="44" t="s">
        <v>186</v>
      </c>
      <c r="D154" s="45">
        <f>SUM(D4:D152)</f>
        <v>43420147997</v>
      </c>
      <c r="E154" s="45">
        <f t="shared" ref="E154:X154" si="12">SUM(E4:E152)</f>
        <v>33667227699</v>
      </c>
      <c r="F154" s="45">
        <f t="shared" si="12"/>
        <v>207230168</v>
      </c>
      <c r="G154" s="45">
        <f t="shared" si="12"/>
        <v>503755871</v>
      </c>
      <c r="H154" s="45">
        <f t="shared" si="12"/>
        <v>19537596097</v>
      </c>
      <c r="I154" s="45">
        <f t="shared" si="12"/>
        <v>2129900395</v>
      </c>
      <c r="J154" s="45">
        <f t="shared" si="12"/>
        <v>2345544</v>
      </c>
      <c r="K154" s="45">
        <f t="shared" si="12"/>
        <v>287308</v>
      </c>
      <c r="L154" s="45">
        <f t="shared" si="12"/>
        <v>0</v>
      </c>
      <c r="M154" s="45">
        <f t="shared" si="12"/>
        <v>0</v>
      </c>
      <c r="N154" s="45">
        <f t="shared" si="12"/>
        <v>37970652</v>
      </c>
      <c r="O154" s="45">
        <f t="shared" si="12"/>
        <v>405651</v>
      </c>
      <c r="P154" s="45">
        <f t="shared" si="12"/>
        <v>162366056</v>
      </c>
      <c r="Q154" s="45">
        <f t="shared" si="12"/>
        <v>468165</v>
      </c>
      <c r="R154" s="45">
        <f t="shared" si="12"/>
        <v>1484728</v>
      </c>
      <c r="S154" s="45">
        <f t="shared" si="12"/>
        <v>255752217</v>
      </c>
      <c r="T154" s="45">
        <f t="shared" si="12"/>
        <v>0</v>
      </c>
      <c r="U154" s="45">
        <f t="shared" si="12"/>
        <v>43422899192</v>
      </c>
      <c r="V154" s="45">
        <f t="shared" si="12"/>
        <v>33829881063</v>
      </c>
      <c r="W154" s="45">
        <f t="shared" si="12"/>
        <v>21961219361</v>
      </c>
      <c r="X154" s="421">
        <f t="shared" si="12"/>
        <v>99213999616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AB47-E0CE-44F9-B690-7F7263406AF4}">
  <sheetPr>
    <pageSetUpPr fitToPage="1"/>
  </sheetPr>
  <dimension ref="A1:I160"/>
  <sheetViews>
    <sheetView showGridLines="0" zoomScaleNormal="100" workbookViewId="0">
      <pane ySplit="3" topLeftCell="A136" activePane="bottomLeft" state="frozen"/>
      <selection pane="bottomLeft" activeCell="B103" sqref="B103"/>
    </sheetView>
  </sheetViews>
  <sheetFormatPr defaultColWidth="12.5703125" defaultRowHeight="16.5" x14ac:dyDescent="0.3"/>
  <cols>
    <col min="1" max="1" width="12.5703125" style="219"/>
    <col min="2" max="2" width="24" style="219" bestFit="1" customWidth="1"/>
    <col min="3" max="5" width="12.5703125" style="220"/>
    <col min="6" max="6" width="14.42578125" style="220" customWidth="1"/>
    <col min="7" max="7" width="15.5703125" style="220" customWidth="1"/>
    <col min="8" max="8" width="14.7109375" style="220" customWidth="1"/>
    <col min="9" max="9" width="16.85546875" style="220" customWidth="1"/>
    <col min="10" max="16384" width="12.5703125" style="219"/>
  </cols>
  <sheetData>
    <row r="1" spans="1:9" ht="24.75" customHeight="1" x14ac:dyDescent="0.35">
      <c r="A1" s="242" t="s">
        <v>497</v>
      </c>
      <c r="B1" s="241"/>
      <c r="C1" s="240"/>
      <c r="G1" s="239"/>
    </row>
    <row r="2" spans="1:9" ht="24.75" customHeight="1" x14ac:dyDescent="0.3">
      <c r="A2" s="238" t="s">
        <v>496</v>
      </c>
      <c r="B2" s="237" t="s">
        <v>187</v>
      </c>
      <c r="F2" s="236" t="s">
        <v>188</v>
      </c>
      <c r="G2" s="235"/>
      <c r="H2" s="234"/>
      <c r="I2" s="234"/>
    </row>
    <row r="3" spans="1:9" s="230" customFormat="1" ht="54" customHeight="1" x14ac:dyDescent="0.3">
      <c r="A3" s="233" t="s">
        <v>189</v>
      </c>
      <c r="B3" s="233" t="s">
        <v>190</v>
      </c>
      <c r="C3" s="232" t="s">
        <v>191</v>
      </c>
      <c r="D3" s="232" t="s">
        <v>192</v>
      </c>
      <c r="E3" s="232" t="s">
        <v>193</v>
      </c>
      <c r="F3" s="231" t="s">
        <v>194</v>
      </c>
      <c r="G3" s="30" t="s">
        <v>495</v>
      </c>
      <c r="H3" s="30" t="s">
        <v>494</v>
      </c>
      <c r="I3" s="30" t="s">
        <v>493</v>
      </c>
    </row>
    <row r="4" spans="1:9" x14ac:dyDescent="0.3">
      <c r="A4" s="224">
        <v>6001</v>
      </c>
      <c r="B4" s="223" t="s">
        <v>198</v>
      </c>
      <c r="C4" s="222">
        <v>1721682.35</v>
      </c>
      <c r="D4" s="222">
        <v>1406786.8599999999</v>
      </c>
      <c r="E4" s="222">
        <v>1455023.73</v>
      </c>
      <c r="F4" s="222">
        <f t="shared" ref="F4:F38" si="0">MAX(C4:E4)</f>
        <v>1721682.35</v>
      </c>
      <c r="G4" s="222">
        <f t="shared" ref="G4:G35" si="1">F4*0.6</f>
        <v>1033009.41</v>
      </c>
      <c r="H4" s="222">
        <v>1494865.82</v>
      </c>
      <c r="I4" s="222">
        <f t="shared" ref="I4:I35" si="2">IF(H4&gt;G4,H4-G4,0)</f>
        <v>461856.41000000003</v>
      </c>
    </row>
    <row r="5" spans="1:9" x14ac:dyDescent="0.3">
      <c r="A5" s="224">
        <v>58003</v>
      </c>
      <c r="B5" s="223" t="s">
        <v>199</v>
      </c>
      <c r="C5" s="222">
        <v>367489.17000000004</v>
      </c>
      <c r="D5" s="222">
        <v>243359.58000000002</v>
      </c>
      <c r="E5" s="222">
        <v>301416.82</v>
      </c>
      <c r="F5" s="222">
        <f t="shared" si="0"/>
        <v>367489.17000000004</v>
      </c>
      <c r="G5" s="222">
        <f t="shared" si="1"/>
        <v>220493.50200000001</v>
      </c>
      <c r="H5" s="222">
        <v>292431.05</v>
      </c>
      <c r="I5" s="222">
        <f t="shared" si="2"/>
        <v>71937.547999999981</v>
      </c>
    </row>
    <row r="6" spans="1:9" x14ac:dyDescent="0.3">
      <c r="A6" s="224">
        <v>61001</v>
      </c>
      <c r="B6" s="223" t="s">
        <v>200</v>
      </c>
      <c r="C6" s="222">
        <v>214117.72000000003</v>
      </c>
      <c r="D6" s="222">
        <v>232292.44</v>
      </c>
      <c r="E6" s="222">
        <v>240423.17</v>
      </c>
      <c r="F6" s="222">
        <f t="shared" si="0"/>
        <v>240423.17</v>
      </c>
      <c r="G6" s="222">
        <f t="shared" si="1"/>
        <v>144253.902</v>
      </c>
      <c r="H6" s="222">
        <v>151251.13999999998</v>
      </c>
      <c r="I6" s="222">
        <f t="shared" si="2"/>
        <v>6997.237999999983</v>
      </c>
    </row>
    <row r="7" spans="1:9" x14ac:dyDescent="0.3">
      <c r="A7" s="224">
        <v>11001</v>
      </c>
      <c r="B7" s="223" t="s">
        <v>201</v>
      </c>
      <c r="C7" s="222">
        <v>153578.08000000002</v>
      </c>
      <c r="D7" s="222">
        <v>84285.540000000008</v>
      </c>
      <c r="E7" s="222">
        <v>98042.92</v>
      </c>
      <c r="F7" s="222">
        <f t="shared" si="0"/>
        <v>153578.08000000002</v>
      </c>
      <c r="G7" s="222">
        <f t="shared" si="1"/>
        <v>92146.848000000013</v>
      </c>
      <c r="H7" s="222">
        <v>127417.10999999999</v>
      </c>
      <c r="I7" s="222">
        <f t="shared" si="2"/>
        <v>35270.261999999973</v>
      </c>
    </row>
    <row r="8" spans="1:9" x14ac:dyDescent="0.3">
      <c r="A8" s="224">
        <v>38001</v>
      </c>
      <c r="B8" s="223" t="s">
        <v>202</v>
      </c>
      <c r="C8" s="222">
        <v>157847.29999999999</v>
      </c>
      <c r="D8" s="222">
        <v>150887.54</v>
      </c>
      <c r="E8" s="222">
        <v>124191.48000000001</v>
      </c>
      <c r="F8" s="222">
        <f t="shared" si="0"/>
        <v>157847.29999999999</v>
      </c>
      <c r="G8" s="222">
        <f t="shared" si="1"/>
        <v>94708.37999999999</v>
      </c>
      <c r="H8" s="222">
        <v>106338.11</v>
      </c>
      <c r="I8" s="222">
        <f t="shared" si="2"/>
        <v>11629.73000000001</v>
      </c>
    </row>
    <row r="9" spans="1:9" x14ac:dyDescent="0.3">
      <c r="A9" s="224">
        <v>21001</v>
      </c>
      <c r="B9" s="223" t="s">
        <v>203</v>
      </c>
      <c r="C9" s="222">
        <v>73304.179999999993</v>
      </c>
      <c r="D9" s="222">
        <v>70429.539999999994</v>
      </c>
      <c r="E9" s="222">
        <v>78885.41</v>
      </c>
      <c r="F9" s="222">
        <f t="shared" si="0"/>
        <v>78885.41</v>
      </c>
      <c r="G9" s="222">
        <f t="shared" si="1"/>
        <v>47331.245999999999</v>
      </c>
      <c r="H9" s="222">
        <v>76932.59</v>
      </c>
      <c r="I9" s="222">
        <f t="shared" si="2"/>
        <v>29601.343999999997</v>
      </c>
    </row>
    <row r="10" spans="1:9" x14ac:dyDescent="0.3">
      <c r="A10" s="224">
        <v>4001</v>
      </c>
      <c r="B10" s="223" t="s">
        <v>204</v>
      </c>
      <c r="C10" s="222">
        <v>64899.78</v>
      </c>
      <c r="D10" s="222">
        <v>105628.35</v>
      </c>
      <c r="E10" s="222">
        <v>80739.78</v>
      </c>
      <c r="F10" s="222">
        <f t="shared" si="0"/>
        <v>105628.35</v>
      </c>
      <c r="G10" s="222">
        <f t="shared" si="1"/>
        <v>63377.01</v>
      </c>
      <c r="H10" s="222">
        <v>70862.22</v>
      </c>
      <c r="I10" s="222">
        <f t="shared" si="2"/>
        <v>7485.2099999999991</v>
      </c>
    </row>
    <row r="11" spans="1:9" x14ac:dyDescent="0.3">
      <c r="A11" s="224">
        <v>49001</v>
      </c>
      <c r="B11" s="223" t="s">
        <v>205</v>
      </c>
      <c r="C11" s="222">
        <v>146195.69</v>
      </c>
      <c r="D11" s="222">
        <v>199363.94</v>
      </c>
      <c r="E11" s="222">
        <v>195620.13999999998</v>
      </c>
      <c r="F11" s="222">
        <f t="shared" si="0"/>
        <v>199363.94</v>
      </c>
      <c r="G11" s="222">
        <f t="shared" si="1"/>
        <v>119618.364</v>
      </c>
      <c r="H11" s="222">
        <v>122821.87</v>
      </c>
      <c r="I11" s="222">
        <f t="shared" si="2"/>
        <v>3203.5059999999939</v>
      </c>
    </row>
    <row r="12" spans="1:9" x14ac:dyDescent="0.3">
      <c r="A12" s="224">
        <v>9001</v>
      </c>
      <c r="B12" s="223" t="s">
        <v>206</v>
      </c>
      <c r="C12" s="222">
        <v>267909.48</v>
      </c>
      <c r="D12" s="222">
        <v>282499.05</v>
      </c>
      <c r="E12" s="222">
        <v>327439.45</v>
      </c>
      <c r="F12" s="222">
        <f t="shared" si="0"/>
        <v>327439.45</v>
      </c>
      <c r="G12" s="222">
        <f t="shared" si="1"/>
        <v>196463.67</v>
      </c>
      <c r="H12" s="222">
        <v>296556.75</v>
      </c>
      <c r="I12" s="222">
        <f t="shared" si="2"/>
        <v>100093.07999999999</v>
      </c>
    </row>
    <row r="13" spans="1:9" x14ac:dyDescent="0.3">
      <c r="A13" s="224">
        <v>3001</v>
      </c>
      <c r="B13" s="223" t="s">
        <v>207</v>
      </c>
      <c r="C13" s="222">
        <v>207533.7</v>
      </c>
      <c r="D13" s="222">
        <v>209752.88000000003</v>
      </c>
      <c r="E13" s="222">
        <v>230384.32</v>
      </c>
      <c r="F13" s="222">
        <f t="shared" si="0"/>
        <v>230384.32</v>
      </c>
      <c r="G13" s="222">
        <f t="shared" si="1"/>
        <v>138230.592</v>
      </c>
      <c r="H13" s="222">
        <v>225177.63999999998</v>
      </c>
      <c r="I13" s="222">
        <f t="shared" si="2"/>
        <v>86947.047999999981</v>
      </c>
    </row>
    <row r="14" spans="1:9" x14ac:dyDescent="0.3">
      <c r="A14" s="224">
        <v>61002</v>
      </c>
      <c r="B14" s="223" t="s">
        <v>208</v>
      </c>
      <c r="C14" s="222">
        <v>209443.65999999997</v>
      </c>
      <c r="D14" s="222">
        <v>192341.08000000002</v>
      </c>
      <c r="E14" s="222">
        <v>199701.80000000002</v>
      </c>
      <c r="F14" s="222">
        <f t="shared" si="0"/>
        <v>209443.65999999997</v>
      </c>
      <c r="G14" s="222">
        <f t="shared" si="1"/>
        <v>125666.19599999998</v>
      </c>
      <c r="H14" s="222">
        <v>184132.85</v>
      </c>
      <c r="I14" s="222">
        <f t="shared" si="2"/>
        <v>58466.654000000024</v>
      </c>
    </row>
    <row r="15" spans="1:9" x14ac:dyDescent="0.3">
      <c r="A15" s="224">
        <v>25001</v>
      </c>
      <c r="B15" s="223" t="s">
        <v>209</v>
      </c>
      <c r="C15" s="222">
        <v>36207.39</v>
      </c>
      <c r="D15" s="222">
        <v>26092.43</v>
      </c>
      <c r="E15" s="222">
        <v>31841.29</v>
      </c>
      <c r="F15" s="222">
        <f t="shared" si="0"/>
        <v>36207.39</v>
      </c>
      <c r="G15" s="222">
        <f t="shared" si="1"/>
        <v>21724.433999999997</v>
      </c>
      <c r="H15" s="222">
        <v>36263.450000000004</v>
      </c>
      <c r="I15" s="222">
        <f t="shared" si="2"/>
        <v>14539.016000000007</v>
      </c>
    </row>
    <row r="16" spans="1:9" x14ac:dyDescent="0.3">
      <c r="A16" s="224">
        <v>52001</v>
      </c>
      <c r="B16" s="223" t="s">
        <v>210</v>
      </c>
      <c r="C16" s="222">
        <v>121514.08999999998</v>
      </c>
      <c r="D16" s="222">
        <v>91737.84</v>
      </c>
      <c r="E16" s="222">
        <v>138489.27000000002</v>
      </c>
      <c r="F16" s="222">
        <f t="shared" si="0"/>
        <v>138489.27000000002</v>
      </c>
      <c r="G16" s="222">
        <f t="shared" si="1"/>
        <v>83093.562000000005</v>
      </c>
      <c r="H16" s="222">
        <v>110767.92</v>
      </c>
      <c r="I16" s="222">
        <f t="shared" si="2"/>
        <v>27674.357999999993</v>
      </c>
    </row>
    <row r="17" spans="1:9" x14ac:dyDescent="0.3">
      <c r="A17" s="224">
        <v>4002</v>
      </c>
      <c r="B17" s="223" t="s">
        <v>211</v>
      </c>
      <c r="C17" s="222">
        <v>250989.35</v>
      </c>
      <c r="D17" s="222">
        <v>185913.4</v>
      </c>
      <c r="E17" s="222">
        <v>182127.80000000002</v>
      </c>
      <c r="F17" s="222">
        <f t="shared" si="0"/>
        <v>250989.35</v>
      </c>
      <c r="G17" s="222">
        <f t="shared" si="1"/>
        <v>150593.60999999999</v>
      </c>
      <c r="H17" s="222">
        <v>200827.23</v>
      </c>
      <c r="I17" s="222">
        <f t="shared" si="2"/>
        <v>50233.620000000024</v>
      </c>
    </row>
    <row r="18" spans="1:9" x14ac:dyDescent="0.3">
      <c r="A18" s="224">
        <v>22001</v>
      </c>
      <c r="B18" s="223" t="s">
        <v>212</v>
      </c>
      <c r="C18" s="222">
        <v>73519.41</v>
      </c>
      <c r="D18" s="222">
        <v>46261.48</v>
      </c>
      <c r="E18" s="222">
        <v>62854.489999999991</v>
      </c>
      <c r="F18" s="222">
        <f t="shared" si="0"/>
        <v>73519.41</v>
      </c>
      <c r="G18" s="222">
        <f t="shared" si="1"/>
        <v>44111.646000000001</v>
      </c>
      <c r="H18" s="222">
        <v>83198.080000000002</v>
      </c>
      <c r="I18" s="222">
        <f t="shared" si="2"/>
        <v>39086.434000000001</v>
      </c>
    </row>
    <row r="19" spans="1:9" x14ac:dyDescent="0.3">
      <c r="A19" s="224">
        <v>49002</v>
      </c>
      <c r="B19" s="223" t="s">
        <v>213</v>
      </c>
      <c r="C19" s="222">
        <v>1885622</v>
      </c>
      <c r="D19" s="222">
        <v>1311793.27</v>
      </c>
      <c r="E19" s="222">
        <v>1364840.64</v>
      </c>
      <c r="F19" s="222">
        <f t="shared" si="0"/>
        <v>1885622</v>
      </c>
      <c r="G19" s="222">
        <f t="shared" si="1"/>
        <v>1131373.2</v>
      </c>
      <c r="H19" s="222">
        <v>1484342.2</v>
      </c>
      <c r="I19" s="222">
        <f t="shared" si="2"/>
        <v>352969</v>
      </c>
    </row>
    <row r="20" spans="1:9" x14ac:dyDescent="0.3">
      <c r="A20" s="224">
        <v>30003</v>
      </c>
      <c r="B20" s="223" t="s">
        <v>214</v>
      </c>
      <c r="C20" s="222">
        <v>172327.17999999996</v>
      </c>
      <c r="D20" s="222">
        <v>110069.63999999998</v>
      </c>
      <c r="E20" s="222">
        <v>105507.04</v>
      </c>
      <c r="F20" s="222">
        <f t="shared" si="0"/>
        <v>172327.17999999996</v>
      </c>
      <c r="G20" s="222">
        <f t="shared" si="1"/>
        <v>103396.30799999998</v>
      </c>
      <c r="H20" s="222">
        <v>110958.09</v>
      </c>
      <c r="I20" s="222">
        <f t="shared" si="2"/>
        <v>7561.7820000000211</v>
      </c>
    </row>
    <row r="21" spans="1:9" x14ac:dyDescent="0.3">
      <c r="A21" s="224">
        <v>45004</v>
      </c>
      <c r="B21" s="223" t="s">
        <v>377</v>
      </c>
      <c r="C21" s="222">
        <v>340440.27999999997</v>
      </c>
      <c r="D21" s="222">
        <v>278885.68</v>
      </c>
      <c r="E21" s="222">
        <v>324562.76</v>
      </c>
      <c r="F21" s="222">
        <f t="shared" si="0"/>
        <v>340440.27999999997</v>
      </c>
      <c r="G21" s="222">
        <f t="shared" si="1"/>
        <v>204264.16799999998</v>
      </c>
      <c r="H21" s="222">
        <v>204385.50999999998</v>
      </c>
      <c r="I21" s="222">
        <f t="shared" si="2"/>
        <v>121.34200000000419</v>
      </c>
    </row>
    <row r="22" spans="1:9" x14ac:dyDescent="0.3">
      <c r="A22" s="224">
        <v>5001</v>
      </c>
      <c r="B22" s="223" t="s">
        <v>216</v>
      </c>
      <c r="C22" s="222">
        <v>1377585.45</v>
      </c>
      <c r="D22" s="222">
        <v>953593.04999999993</v>
      </c>
      <c r="E22" s="222">
        <v>952176.94</v>
      </c>
      <c r="F22" s="222">
        <f t="shared" si="0"/>
        <v>1377585.45</v>
      </c>
      <c r="G22" s="222">
        <f t="shared" si="1"/>
        <v>826551.2699999999</v>
      </c>
      <c r="H22" s="222">
        <v>1055863.1399999999</v>
      </c>
      <c r="I22" s="222">
        <f t="shared" si="2"/>
        <v>229311.87</v>
      </c>
    </row>
    <row r="23" spans="1:9" x14ac:dyDescent="0.3">
      <c r="A23" s="224">
        <v>26002</v>
      </c>
      <c r="B23" s="223" t="s">
        <v>217</v>
      </c>
      <c r="C23" s="222">
        <v>153893.02000000002</v>
      </c>
      <c r="D23" s="222">
        <v>85754.91</v>
      </c>
      <c r="E23" s="222">
        <v>81374.41</v>
      </c>
      <c r="F23" s="222">
        <f t="shared" si="0"/>
        <v>153893.02000000002</v>
      </c>
      <c r="G23" s="222">
        <f t="shared" si="1"/>
        <v>92335.812000000005</v>
      </c>
      <c r="H23" s="222">
        <v>94938.36</v>
      </c>
      <c r="I23" s="222">
        <f t="shared" si="2"/>
        <v>2602.5479999999952</v>
      </c>
    </row>
    <row r="24" spans="1:9" x14ac:dyDescent="0.3">
      <c r="A24" s="224">
        <v>43001</v>
      </c>
      <c r="B24" s="223" t="s">
        <v>218</v>
      </c>
      <c r="C24" s="222">
        <v>103082.46</v>
      </c>
      <c r="D24" s="222">
        <v>70488.09</v>
      </c>
      <c r="E24" s="222">
        <v>65090.789999999994</v>
      </c>
      <c r="F24" s="222">
        <f t="shared" si="0"/>
        <v>103082.46</v>
      </c>
      <c r="G24" s="222">
        <f t="shared" si="1"/>
        <v>61849.476000000002</v>
      </c>
      <c r="H24" s="222">
        <v>74744.649999999994</v>
      </c>
      <c r="I24" s="222">
        <f t="shared" si="2"/>
        <v>12895.173999999992</v>
      </c>
    </row>
    <row r="25" spans="1:9" x14ac:dyDescent="0.3">
      <c r="A25" s="224">
        <v>41001</v>
      </c>
      <c r="B25" s="223" t="s">
        <v>219</v>
      </c>
      <c r="C25" s="222">
        <v>443031.13999999996</v>
      </c>
      <c r="D25" s="222">
        <v>301684.27999999997</v>
      </c>
      <c r="E25" s="222">
        <v>272708.68000000005</v>
      </c>
      <c r="F25" s="222">
        <f t="shared" si="0"/>
        <v>443031.13999999996</v>
      </c>
      <c r="G25" s="222">
        <f t="shared" si="1"/>
        <v>265818.68399999995</v>
      </c>
      <c r="H25" s="222">
        <v>250558.18</v>
      </c>
      <c r="I25" s="222">
        <f t="shared" si="2"/>
        <v>0</v>
      </c>
    </row>
    <row r="26" spans="1:9" x14ac:dyDescent="0.3">
      <c r="A26" s="224">
        <v>28001</v>
      </c>
      <c r="B26" s="223" t="s">
        <v>220</v>
      </c>
      <c r="C26" s="222">
        <v>84865.01</v>
      </c>
      <c r="D26" s="222">
        <v>120788.74</v>
      </c>
      <c r="E26" s="222">
        <v>95571.040000000008</v>
      </c>
      <c r="F26" s="222">
        <f t="shared" si="0"/>
        <v>120788.74</v>
      </c>
      <c r="G26" s="222">
        <f t="shared" si="1"/>
        <v>72473.244000000006</v>
      </c>
      <c r="H26" s="222">
        <v>105153.1</v>
      </c>
      <c r="I26" s="222">
        <f t="shared" si="2"/>
        <v>32679.856</v>
      </c>
    </row>
    <row r="27" spans="1:9" x14ac:dyDescent="0.3">
      <c r="A27" s="224">
        <v>60001</v>
      </c>
      <c r="B27" s="223" t="s">
        <v>221</v>
      </c>
      <c r="C27" s="222">
        <v>87636.14</v>
      </c>
      <c r="D27" s="222">
        <v>77204.239999999991</v>
      </c>
      <c r="E27" s="222">
        <v>60553.440000000002</v>
      </c>
      <c r="F27" s="222">
        <f t="shared" si="0"/>
        <v>87636.14</v>
      </c>
      <c r="G27" s="222">
        <f t="shared" si="1"/>
        <v>52581.684000000001</v>
      </c>
      <c r="H27" s="222">
        <v>80833.45</v>
      </c>
      <c r="I27" s="222">
        <f t="shared" si="2"/>
        <v>28251.765999999996</v>
      </c>
    </row>
    <row r="28" spans="1:9" x14ac:dyDescent="0.3">
      <c r="A28" s="224">
        <v>7001</v>
      </c>
      <c r="B28" s="223" t="s">
        <v>222</v>
      </c>
      <c r="C28" s="222">
        <v>217424.36</v>
      </c>
      <c r="D28" s="222">
        <v>456857.65</v>
      </c>
      <c r="E28" s="222">
        <v>388412.38</v>
      </c>
      <c r="F28" s="222">
        <f t="shared" si="0"/>
        <v>456857.65</v>
      </c>
      <c r="G28" s="222">
        <f t="shared" si="1"/>
        <v>274114.59000000003</v>
      </c>
      <c r="H28" s="222">
        <v>421738.04</v>
      </c>
      <c r="I28" s="222">
        <f t="shared" si="2"/>
        <v>147623.44999999995</v>
      </c>
    </row>
    <row r="29" spans="1:9" x14ac:dyDescent="0.3">
      <c r="A29" s="224">
        <v>39001</v>
      </c>
      <c r="B29" s="223" t="s">
        <v>376</v>
      </c>
      <c r="C29" s="222">
        <v>377689.21</v>
      </c>
      <c r="D29" s="222">
        <v>255845.65000000002</v>
      </c>
      <c r="E29" s="222">
        <v>266085.03000000003</v>
      </c>
      <c r="F29" s="222">
        <f t="shared" si="0"/>
        <v>377689.21</v>
      </c>
      <c r="G29" s="222">
        <f t="shared" si="1"/>
        <v>226613.52600000001</v>
      </c>
      <c r="H29" s="222">
        <v>255337.49</v>
      </c>
      <c r="I29" s="222">
        <f t="shared" si="2"/>
        <v>28723.963999999978</v>
      </c>
    </row>
    <row r="30" spans="1:9" x14ac:dyDescent="0.3">
      <c r="A30" s="224">
        <v>12002</v>
      </c>
      <c r="B30" s="223" t="s">
        <v>224</v>
      </c>
      <c r="C30" s="222">
        <v>286326.61</v>
      </c>
      <c r="D30" s="222">
        <v>214770.24</v>
      </c>
      <c r="E30" s="222">
        <v>234864.96000000002</v>
      </c>
      <c r="F30" s="222">
        <f t="shared" si="0"/>
        <v>286326.61</v>
      </c>
      <c r="G30" s="222">
        <f t="shared" si="1"/>
        <v>171795.96599999999</v>
      </c>
      <c r="H30" s="222">
        <v>258390.2</v>
      </c>
      <c r="I30" s="222">
        <f t="shared" si="2"/>
        <v>86594.234000000026</v>
      </c>
    </row>
    <row r="31" spans="1:9" x14ac:dyDescent="0.3">
      <c r="A31" s="224">
        <v>50005</v>
      </c>
      <c r="B31" s="223" t="s">
        <v>225</v>
      </c>
      <c r="C31" s="222">
        <v>129273.28</v>
      </c>
      <c r="D31" s="222">
        <v>91802.25</v>
      </c>
      <c r="E31" s="222">
        <v>95902.91</v>
      </c>
      <c r="F31" s="222">
        <f t="shared" si="0"/>
        <v>129273.28</v>
      </c>
      <c r="G31" s="222">
        <f t="shared" si="1"/>
        <v>77563.967999999993</v>
      </c>
      <c r="H31" s="222">
        <v>98875.299999999988</v>
      </c>
      <c r="I31" s="222">
        <f t="shared" si="2"/>
        <v>21311.331999999995</v>
      </c>
    </row>
    <row r="32" spans="1:9" x14ac:dyDescent="0.3">
      <c r="A32" s="224">
        <v>59003</v>
      </c>
      <c r="B32" s="223" t="s">
        <v>226</v>
      </c>
      <c r="C32" s="222">
        <v>140988.79999999999</v>
      </c>
      <c r="D32" s="222">
        <v>99276.53</v>
      </c>
      <c r="E32" s="222">
        <v>71406.290000000008</v>
      </c>
      <c r="F32" s="222">
        <f t="shared" si="0"/>
        <v>140988.79999999999</v>
      </c>
      <c r="G32" s="222">
        <f t="shared" si="1"/>
        <v>84593.279999999984</v>
      </c>
      <c r="H32" s="222">
        <v>77550.209999999992</v>
      </c>
      <c r="I32" s="222">
        <f t="shared" si="2"/>
        <v>0</v>
      </c>
    </row>
    <row r="33" spans="1:9" x14ac:dyDescent="0.3">
      <c r="A33" s="224">
        <v>21003</v>
      </c>
      <c r="B33" s="223" t="s">
        <v>227</v>
      </c>
      <c r="C33" s="222">
        <v>203032.28</v>
      </c>
      <c r="D33" s="222">
        <v>154125.30000000002</v>
      </c>
      <c r="E33" s="222">
        <v>172417.58000000002</v>
      </c>
      <c r="F33" s="222">
        <f t="shared" si="0"/>
        <v>203032.28</v>
      </c>
      <c r="G33" s="222">
        <f t="shared" si="1"/>
        <v>121819.36799999999</v>
      </c>
      <c r="H33" s="222">
        <v>163049.26</v>
      </c>
      <c r="I33" s="222">
        <f t="shared" si="2"/>
        <v>41229.892000000022</v>
      </c>
    </row>
    <row r="34" spans="1:9" x14ac:dyDescent="0.3">
      <c r="A34" s="224">
        <v>16001</v>
      </c>
      <c r="B34" s="223" t="s">
        <v>228</v>
      </c>
      <c r="C34" s="222">
        <v>586860.45000000007</v>
      </c>
      <c r="D34" s="222">
        <v>480548.74</v>
      </c>
      <c r="E34" s="222">
        <v>493950.84</v>
      </c>
      <c r="F34" s="222">
        <f t="shared" si="0"/>
        <v>586860.45000000007</v>
      </c>
      <c r="G34" s="222">
        <f t="shared" si="1"/>
        <v>352116.27</v>
      </c>
      <c r="H34" s="222">
        <v>460164.24</v>
      </c>
      <c r="I34" s="222">
        <f t="shared" si="2"/>
        <v>108047.96999999997</v>
      </c>
    </row>
    <row r="35" spans="1:9" x14ac:dyDescent="0.3">
      <c r="A35" s="224">
        <v>61008</v>
      </c>
      <c r="B35" s="223" t="s">
        <v>229</v>
      </c>
      <c r="C35" s="222">
        <v>378343.66000000003</v>
      </c>
      <c r="D35" s="222">
        <v>326265.37</v>
      </c>
      <c r="E35" s="222">
        <v>361386.92</v>
      </c>
      <c r="F35" s="222">
        <f t="shared" si="0"/>
        <v>378343.66000000003</v>
      </c>
      <c r="G35" s="222">
        <f t="shared" si="1"/>
        <v>227006.19600000003</v>
      </c>
      <c r="H35" s="222">
        <v>360172.96</v>
      </c>
      <c r="I35" s="222">
        <f t="shared" si="2"/>
        <v>133166.764</v>
      </c>
    </row>
    <row r="36" spans="1:9" x14ac:dyDescent="0.3">
      <c r="A36" s="224">
        <v>38002</v>
      </c>
      <c r="B36" s="223" t="s">
        <v>230</v>
      </c>
      <c r="C36" s="222">
        <v>142292.78</v>
      </c>
      <c r="D36" s="222">
        <v>106990.26</v>
      </c>
      <c r="E36" s="222">
        <v>118860.31999999999</v>
      </c>
      <c r="F36" s="222">
        <f t="shared" si="0"/>
        <v>142292.78</v>
      </c>
      <c r="G36" s="222">
        <f t="shared" ref="G36:G67" si="3">F36*0.6</f>
        <v>85375.667999999991</v>
      </c>
      <c r="H36" s="222">
        <v>105955.12000000001</v>
      </c>
      <c r="I36" s="222">
        <f t="shared" ref="I36:I67" si="4">IF(H36&gt;G36,H36-G36,0)</f>
        <v>20579.452000000019</v>
      </c>
    </row>
    <row r="37" spans="1:9" x14ac:dyDescent="0.3">
      <c r="A37" s="224">
        <v>49003</v>
      </c>
      <c r="B37" s="223" t="s">
        <v>231</v>
      </c>
      <c r="C37" s="222">
        <v>427706.11</v>
      </c>
      <c r="D37" s="222">
        <v>437442.68</v>
      </c>
      <c r="E37" s="222">
        <v>437599.94</v>
      </c>
      <c r="F37" s="222">
        <f t="shared" si="0"/>
        <v>437599.94</v>
      </c>
      <c r="G37" s="222">
        <f t="shared" si="3"/>
        <v>262559.96399999998</v>
      </c>
      <c r="H37" s="222">
        <v>379510.86</v>
      </c>
      <c r="I37" s="222">
        <f t="shared" si="4"/>
        <v>116950.89600000001</v>
      </c>
    </row>
    <row r="38" spans="1:9" x14ac:dyDescent="0.3">
      <c r="A38" s="224">
        <v>5006</v>
      </c>
      <c r="B38" s="223" t="s">
        <v>375</v>
      </c>
      <c r="C38" s="222">
        <v>697580.89</v>
      </c>
      <c r="D38" s="222">
        <v>583574</v>
      </c>
      <c r="E38" s="222">
        <v>592837.16</v>
      </c>
      <c r="F38" s="222">
        <f t="shared" si="0"/>
        <v>697580.89</v>
      </c>
      <c r="G38" s="222">
        <f t="shared" si="3"/>
        <v>418548.53399999999</v>
      </c>
      <c r="H38" s="222">
        <v>594436.29</v>
      </c>
      <c r="I38" s="222">
        <f t="shared" si="4"/>
        <v>175887.75600000005</v>
      </c>
    </row>
    <row r="39" spans="1:9" x14ac:dyDescent="0.3">
      <c r="A39" s="224">
        <v>19004</v>
      </c>
      <c r="B39" s="223" t="s">
        <v>233</v>
      </c>
      <c r="C39" s="222">
        <v>307946.58999999997</v>
      </c>
      <c r="D39" s="222">
        <v>254050.78999999998</v>
      </c>
      <c r="E39" s="222">
        <v>281602.71000000002</v>
      </c>
      <c r="F39" s="229">
        <f>MAX(C39:E39)+$F$158</f>
        <v>328985.21199999994</v>
      </c>
      <c r="G39" s="222">
        <f t="shared" si="3"/>
        <v>197391.12719999996</v>
      </c>
      <c r="H39" s="222">
        <v>301393.45000000007</v>
      </c>
      <c r="I39" s="222">
        <f t="shared" si="4"/>
        <v>104002.32280000011</v>
      </c>
    </row>
    <row r="40" spans="1:9" x14ac:dyDescent="0.3">
      <c r="A40" s="224">
        <v>56002</v>
      </c>
      <c r="B40" s="223" t="s">
        <v>234</v>
      </c>
      <c r="C40" s="222">
        <v>67783.930000000008</v>
      </c>
      <c r="D40" s="222">
        <v>83019.7</v>
      </c>
      <c r="E40" s="222">
        <v>157905.22999999998</v>
      </c>
      <c r="F40" s="222">
        <f t="shared" ref="F40:F71" si="5">MAX(C40:E40)</f>
        <v>157905.22999999998</v>
      </c>
      <c r="G40" s="222">
        <f t="shared" si="3"/>
        <v>94743.137999999992</v>
      </c>
      <c r="H40" s="222">
        <v>96505.920000000013</v>
      </c>
      <c r="I40" s="222">
        <f t="shared" si="4"/>
        <v>1762.7820000000211</v>
      </c>
    </row>
    <row r="41" spans="1:9" x14ac:dyDescent="0.3">
      <c r="A41" s="224">
        <v>51001</v>
      </c>
      <c r="B41" s="223" t="s">
        <v>235</v>
      </c>
      <c r="C41" s="222">
        <v>515663.59</v>
      </c>
      <c r="D41" s="222">
        <v>492442.89999999997</v>
      </c>
      <c r="E41" s="222">
        <v>512852.7</v>
      </c>
      <c r="F41" s="222">
        <f t="shared" si="5"/>
        <v>515663.59</v>
      </c>
      <c r="G41" s="222">
        <f t="shared" si="3"/>
        <v>309398.15399999998</v>
      </c>
      <c r="H41" s="222">
        <v>429593.62999999995</v>
      </c>
      <c r="I41" s="222">
        <f t="shared" si="4"/>
        <v>120195.47599999997</v>
      </c>
    </row>
    <row r="42" spans="1:9" x14ac:dyDescent="0.3">
      <c r="A42" s="224">
        <v>64002</v>
      </c>
      <c r="B42" s="223" t="s">
        <v>236</v>
      </c>
      <c r="C42" s="222">
        <v>118510.51</v>
      </c>
      <c r="D42" s="222">
        <v>509077.22</v>
      </c>
      <c r="E42" s="222">
        <v>191005.33000000002</v>
      </c>
      <c r="F42" s="222">
        <f t="shared" si="5"/>
        <v>509077.22</v>
      </c>
      <c r="G42" s="222">
        <f t="shared" si="3"/>
        <v>305446.33199999999</v>
      </c>
      <c r="H42" s="222">
        <v>129939.08</v>
      </c>
      <c r="I42" s="222">
        <f t="shared" si="4"/>
        <v>0</v>
      </c>
    </row>
    <row r="43" spans="1:9" x14ac:dyDescent="0.3">
      <c r="A43" s="224">
        <v>20001</v>
      </c>
      <c r="B43" s="223" t="s">
        <v>237</v>
      </c>
      <c r="C43" s="222">
        <v>127778.52</v>
      </c>
      <c r="D43" s="222">
        <v>200861.26</v>
      </c>
      <c r="E43" s="222">
        <v>145612.22999999998</v>
      </c>
      <c r="F43" s="222">
        <f t="shared" si="5"/>
        <v>200861.26</v>
      </c>
      <c r="G43" s="222">
        <f t="shared" si="3"/>
        <v>120516.75599999999</v>
      </c>
      <c r="H43" s="222">
        <v>119674.73999999999</v>
      </c>
      <c r="I43" s="222">
        <f t="shared" si="4"/>
        <v>0</v>
      </c>
    </row>
    <row r="44" spans="1:9" x14ac:dyDescent="0.3">
      <c r="A44" s="224">
        <v>23001</v>
      </c>
      <c r="B44" s="223" t="s">
        <v>238</v>
      </c>
      <c r="C44" s="222">
        <v>64642.55</v>
      </c>
      <c r="D44" s="222">
        <v>64151.8</v>
      </c>
      <c r="E44" s="222">
        <v>61812.770000000004</v>
      </c>
      <c r="F44" s="222">
        <f t="shared" si="5"/>
        <v>64642.55</v>
      </c>
      <c r="G44" s="222">
        <f t="shared" si="3"/>
        <v>38785.53</v>
      </c>
      <c r="H44" s="222">
        <v>56265</v>
      </c>
      <c r="I44" s="222">
        <f t="shared" si="4"/>
        <v>17479.47</v>
      </c>
    </row>
    <row r="45" spans="1:9" x14ac:dyDescent="0.3">
      <c r="A45" s="224">
        <v>22005</v>
      </c>
      <c r="B45" s="223" t="s">
        <v>239</v>
      </c>
      <c r="C45" s="222">
        <v>140415.15</v>
      </c>
      <c r="D45" s="222">
        <v>120428.15000000001</v>
      </c>
      <c r="E45" s="222">
        <v>89957.39</v>
      </c>
      <c r="F45" s="222">
        <f t="shared" si="5"/>
        <v>140415.15</v>
      </c>
      <c r="G45" s="222">
        <f t="shared" si="3"/>
        <v>84249.09</v>
      </c>
      <c r="H45" s="222">
        <v>103722.7</v>
      </c>
      <c r="I45" s="222">
        <f t="shared" si="4"/>
        <v>19473.61</v>
      </c>
    </row>
    <row r="46" spans="1:9" x14ac:dyDescent="0.3">
      <c r="A46" s="224">
        <v>16002</v>
      </c>
      <c r="B46" s="223" t="s">
        <v>240</v>
      </c>
      <c r="C46" s="222">
        <v>10425.159999999998</v>
      </c>
      <c r="D46" s="222">
        <v>7575.42</v>
      </c>
      <c r="E46" s="222">
        <v>14254.949999999999</v>
      </c>
      <c r="F46" s="222">
        <f t="shared" si="5"/>
        <v>14254.949999999999</v>
      </c>
      <c r="G46" s="222">
        <f t="shared" si="3"/>
        <v>8552.9699999999993</v>
      </c>
      <c r="H46" s="222">
        <v>6266.01</v>
      </c>
      <c r="I46" s="222">
        <f t="shared" si="4"/>
        <v>0</v>
      </c>
    </row>
    <row r="47" spans="1:9" x14ac:dyDescent="0.3">
      <c r="A47" s="224">
        <v>61007</v>
      </c>
      <c r="B47" s="223" t="s">
        <v>241</v>
      </c>
      <c r="C47" s="222">
        <v>392834.16000000003</v>
      </c>
      <c r="D47" s="222">
        <v>287653.41000000003</v>
      </c>
      <c r="E47" s="222">
        <v>291523.93</v>
      </c>
      <c r="F47" s="222">
        <f t="shared" si="5"/>
        <v>392834.16000000003</v>
      </c>
      <c r="G47" s="222">
        <f t="shared" si="3"/>
        <v>235700.49600000001</v>
      </c>
      <c r="H47" s="222">
        <v>254335.38999999998</v>
      </c>
      <c r="I47" s="222">
        <f t="shared" si="4"/>
        <v>18634.893999999971</v>
      </c>
    </row>
    <row r="48" spans="1:9" x14ac:dyDescent="0.3">
      <c r="A48" s="224">
        <v>5003</v>
      </c>
      <c r="B48" s="223" t="s">
        <v>242</v>
      </c>
      <c r="C48" s="222">
        <v>328616.01999999996</v>
      </c>
      <c r="D48" s="222">
        <v>271633.90999999997</v>
      </c>
      <c r="E48" s="222">
        <v>259333.9</v>
      </c>
      <c r="F48" s="222">
        <f t="shared" si="5"/>
        <v>328616.01999999996</v>
      </c>
      <c r="G48" s="222">
        <f t="shared" si="3"/>
        <v>197169.61199999996</v>
      </c>
      <c r="H48" s="222">
        <v>278945.73</v>
      </c>
      <c r="I48" s="222">
        <f t="shared" si="4"/>
        <v>81776.118000000017</v>
      </c>
    </row>
    <row r="49" spans="1:9" x14ac:dyDescent="0.3">
      <c r="A49" s="224">
        <v>28002</v>
      </c>
      <c r="B49" s="223" t="s">
        <v>243</v>
      </c>
      <c r="C49" s="222">
        <v>111175.39000000001</v>
      </c>
      <c r="D49" s="222">
        <v>117911.86</v>
      </c>
      <c r="E49" s="222">
        <v>117981.03</v>
      </c>
      <c r="F49" s="222">
        <f t="shared" si="5"/>
        <v>117981.03</v>
      </c>
      <c r="G49" s="222">
        <f t="shared" si="3"/>
        <v>70788.618000000002</v>
      </c>
      <c r="H49" s="222">
        <v>133930.90000000002</v>
      </c>
      <c r="I49" s="222">
        <f t="shared" si="4"/>
        <v>63142.282000000021</v>
      </c>
    </row>
    <row r="50" spans="1:9" x14ac:dyDescent="0.3">
      <c r="A50" s="224">
        <v>17001</v>
      </c>
      <c r="B50" s="223" t="s">
        <v>244</v>
      </c>
      <c r="C50" s="222">
        <v>63446.64</v>
      </c>
      <c r="D50" s="222">
        <v>94888.98</v>
      </c>
      <c r="E50" s="222">
        <v>63840.17</v>
      </c>
      <c r="F50" s="222">
        <f t="shared" si="5"/>
        <v>94888.98</v>
      </c>
      <c r="G50" s="222">
        <f t="shared" si="3"/>
        <v>56933.387999999999</v>
      </c>
      <c r="H50" s="222">
        <v>59216.72</v>
      </c>
      <c r="I50" s="222">
        <f t="shared" si="4"/>
        <v>2283.3320000000022</v>
      </c>
    </row>
    <row r="51" spans="1:9" x14ac:dyDescent="0.3">
      <c r="A51" s="224">
        <v>44001</v>
      </c>
      <c r="B51" s="223" t="s">
        <v>245</v>
      </c>
      <c r="C51" s="222">
        <v>202679.56000000003</v>
      </c>
      <c r="D51" s="222">
        <v>112302</v>
      </c>
      <c r="E51" s="222">
        <v>107702.29999999999</v>
      </c>
      <c r="F51" s="222">
        <f t="shared" si="5"/>
        <v>202679.56000000003</v>
      </c>
      <c r="G51" s="222">
        <f t="shared" si="3"/>
        <v>121607.736</v>
      </c>
      <c r="H51" s="222">
        <v>107871.82</v>
      </c>
      <c r="I51" s="222">
        <f t="shared" si="4"/>
        <v>0</v>
      </c>
    </row>
    <row r="52" spans="1:9" x14ac:dyDescent="0.3">
      <c r="A52" s="224">
        <v>46002</v>
      </c>
      <c r="B52" s="223" t="s">
        <v>246</v>
      </c>
      <c r="C52" s="222">
        <v>86525.03</v>
      </c>
      <c r="D52" s="222">
        <v>123784.88</v>
      </c>
      <c r="E52" s="222">
        <v>93156.56</v>
      </c>
      <c r="F52" s="222">
        <f t="shared" si="5"/>
        <v>123784.88</v>
      </c>
      <c r="G52" s="222">
        <f t="shared" si="3"/>
        <v>74270.928</v>
      </c>
      <c r="H52" s="222">
        <v>59763.17</v>
      </c>
      <c r="I52" s="222">
        <f t="shared" si="4"/>
        <v>0</v>
      </c>
    </row>
    <row r="53" spans="1:9" x14ac:dyDescent="0.3">
      <c r="A53" s="224">
        <v>24004</v>
      </c>
      <c r="B53" s="223" t="s">
        <v>374</v>
      </c>
      <c r="C53" s="222">
        <v>137069.4</v>
      </c>
      <c r="D53" s="222">
        <v>143842.78999999998</v>
      </c>
      <c r="E53" s="222">
        <v>151880.12000000002</v>
      </c>
      <c r="F53" s="222">
        <f t="shared" si="5"/>
        <v>151880.12000000002</v>
      </c>
      <c r="G53" s="222">
        <f t="shared" si="3"/>
        <v>91128.072000000015</v>
      </c>
      <c r="H53" s="222">
        <v>146903.58000000002</v>
      </c>
      <c r="I53" s="222">
        <f t="shared" si="4"/>
        <v>55775.508000000002</v>
      </c>
    </row>
    <row r="54" spans="1:9" x14ac:dyDescent="0.3">
      <c r="A54" s="224">
        <v>50003</v>
      </c>
      <c r="B54" s="223" t="s">
        <v>248</v>
      </c>
      <c r="C54" s="222">
        <v>279516.77</v>
      </c>
      <c r="D54" s="222">
        <v>208508.38</v>
      </c>
      <c r="E54" s="222">
        <v>219263.22000000003</v>
      </c>
      <c r="F54" s="222">
        <f t="shared" si="5"/>
        <v>279516.77</v>
      </c>
      <c r="G54" s="222">
        <f t="shared" si="3"/>
        <v>167710.06200000001</v>
      </c>
      <c r="H54" s="222">
        <v>207681.25</v>
      </c>
      <c r="I54" s="222">
        <f t="shared" si="4"/>
        <v>39971.187999999995</v>
      </c>
    </row>
    <row r="55" spans="1:9" x14ac:dyDescent="0.3">
      <c r="A55" s="224">
        <v>14001</v>
      </c>
      <c r="B55" s="223" t="s">
        <v>249</v>
      </c>
      <c r="C55" s="222">
        <v>76524.55</v>
      </c>
      <c r="D55" s="222">
        <v>84666.77</v>
      </c>
      <c r="E55" s="222">
        <v>94642.94</v>
      </c>
      <c r="F55" s="222">
        <f t="shared" si="5"/>
        <v>94642.94</v>
      </c>
      <c r="G55" s="222">
        <f t="shared" si="3"/>
        <v>56785.764000000003</v>
      </c>
      <c r="H55" s="222">
        <v>80817.2</v>
      </c>
      <c r="I55" s="222">
        <f t="shared" si="4"/>
        <v>24031.435999999994</v>
      </c>
    </row>
    <row r="56" spans="1:9" x14ac:dyDescent="0.3">
      <c r="A56" s="224">
        <v>6002</v>
      </c>
      <c r="B56" s="223" t="s">
        <v>250</v>
      </c>
      <c r="C56" s="222">
        <v>75903.16</v>
      </c>
      <c r="D56" s="222">
        <v>92988.290000000008</v>
      </c>
      <c r="E56" s="222">
        <v>86616.62</v>
      </c>
      <c r="F56" s="222">
        <f t="shared" si="5"/>
        <v>92988.290000000008</v>
      </c>
      <c r="G56" s="222">
        <f t="shared" si="3"/>
        <v>55792.974000000002</v>
      </c>
      <c r="H56" s="222">
        <v>96445.239999999991</v>
      </c>
      <c r="I56" s="222">
        <f t="shared" si="4"/>
        <v>40652.265999999989</v>
      </c>
    </row>
    <row r="57" spans="1:9" x14ac:dyDescent="0.3">
      <c r="A57" s="224">
        <v>33001</v>
      </c>
      <c r="B57" s="223" t="s">
        <v>251</v>
      </c>
      <c r="C57" s="222">
        <v>214732.61000000002</v>
      </c>
      <c r="D57" s="222">
        <v>147990.38</v>
      </c>
      <c r="E57" s="222">
        <v>177746.64</v>
      </c>
      <c r="F57" s="222">
        <f t="shared" si="5"/>
        <v>214732.61000000002</v>
      </c>
      <c r="G57" s="222">
        <f t="shared" si="3"/>
        <v>128839.56600000001</v>
      </c>
      <c r="H57" s="222">
        <v>186180</v>
      </c>
      <c r="I57" s="222">
        <f t="shared" si="4"/>
        <v>57340.433999999994</v>
      </c>
    </row>
    <row r="58" spans="1:9" x14ac:dyDescent="0.3">
      <c r="A58" s="224">
        <v>49004</v>
      </c>
      <c r="B58" s="223" t="s">
        <v>252</v>
      </c>
      <c r="C58" s="222">
        <v>206346.66999999998</v>
      </c>
      <c r="D58" s="222">
        <v>216777.08000000002</v>
      </c>
      <c r="E58" s="222">
        <v>215327.12</v>
      </c>
      <c r="F58" s="222">
        <f t="shared" si="5"/>
        <v>216777.08000000002</v>
      </c>
      <c r="G58" s="222">
        <f t="shared" si="3"/>
        <v>130066.24800000001</v>
      </c>
      <c r="H58" s="222">
        <v>238998.33000000002</v>
      </c>
      <c r="I58" s="222">
        <f t="shared" si="4"/>
        <v>108932.08200000001</v>
      </c>
    </row>
    <row r="59" spans="1:9" x14ac:dyDescent="0.3">
      <c r="A59" s="224">
        <v>63001</v>
      </c>
      <c r="B59" s="223" t="s">
        <v>253</v>
      </c>
      <c r="C59" s="222">
        <v>111905.22</v>
      </c>
      <c r="D59" s="222">
        <v>90650.57</v>
      </c>
      <c r="E59" s="222">
        <v>80092.22</v>
      </c>
      <c r="F59" s="222">
        <f t="shared" si="5"/>
        <v>111905.22</v>
      </c>
      <c r="G59" s="222">
        <f t="shared" si="3"/>
        <v>67143.131999999998</v>
      </c>
      <c r="H59" s="222">
        <v>84943.209999999992</v>
      </c>
      <c r="I59" s="222">
        <f t="shared" si="4"/>
        <v>17800.077999999994</v>
      </c>
    </row>
    <row r="60" spans="1:9" x14ac:dyDescent="0.3">
      <c r="A60" s="224">
        <v>53001</v>
      </c>
      <c r="B60" s="223" t="s">
        <v>254</v>
      </c>
      <c r="C60" s="222">
        <v>115257.28</v>
      </c>
      <c r="D60" s="222">
        <v>114194.62</v>
      </c>
      <c r="E60" s="222">
        <v>130946.09000000001</v>
      </c>
      <c r="F60" s="222">
        <f t="shared" si="5"/>
        <v>130946.09000000001</v>
      </c>
      <c r="G60" s="222">
        <f t="shared" si="3"/>
        <v>78567.65400000001</v>
      </c>
      <c r="H60" s="222">
        <v>120004.09999999999</v>
      </c>
      <c r="I60" s="222">
        <f t="shared" si="4"/>
        <v>41436.445999999982</v>
      </c>
    </row>
    <row r="61" spans="1:9" x14ac:dyDescent="0.3">
      <c r="A61" s="224">
        <v>26004</v>
      </c>
      <c r="B61" s="223" t="s">
        <v>255</v>
      </c>
      <c r="C61" s="222">
        <v>225915.27999999997</v>
      </c>
      <c r="D61" s="222">
        <v>179516.18</v>
      </c>
      <c r="E61" s="222">
        <v>167625.19</v>
      </c>
      <c r="F61" s="222">
        <f t="shared" si="5"/>
        <v>225915.27999999997</v>
      </c>
      <c r="G61" s="222">
        <f t="shared" si="3"/>
        <v>135549.16799999998</v>
      </c>
      <c r="H61" s="222">
        <v>182686.83000000002</v>
      </c>
      <c r="I61" s="222">
        <f t="shared" si="4"/>
        <v>47137.66200000004</v>
      </c>
    </row>
    <row r="62" spans="1:9" x14ac:dyDescent="0.3">
      <c r="A62" s="224">
        <v>6006</v>
      </c>
      <c r="B62" s="223" t="s">
        <v>256</v>
      </c>
      <c r="C62" s="222">
        <v>723642.38</v>
      </c>
      <c r="D62" s="222">
        <v>851557.45000000007</v>
      </c>
      <c r="E62" s="222">
        <v>886385.27</v>
      </c>
      <c r="F62" s="222">
        <f t="shared" si="5"/>
        <v>886385.27</v>
      </c>
      <c r="G62" s="222">
        <f t="shared" si="3"/>
        <v>531831.16200000001</v>
      </c>
      <c r="H62" s="222">
        <v>981656.83000000007</v>
      </c>
      <c r="I62" s="222">
        <f t="shared" si="4"/>
        <v>449825.66800000006</v>
      </c>
    </row>
    <row r="63" spans="1:9" x14ac:dyDescent="0.3">
      <c r="A63" s="224">
        <v>27001</v>
      </c>
      <c r="B63" s="223" t="s">
        <v>257</v>
      </c>
      <c r="C63" s="222">
        <v>179815.07</v>
      </c>
      <c r="D63" s="222">
        <v>187563.53999999998</v>
      </c>
      <c r="E63" s="222">
        <v>249682.88</v>
      </c>
      <c r="F63" s="222">
        <f t="shared" si="5"/>
        <v>249682.88</v>
      </c>
      <c r="G63" s="222">
        <f t="shared" si="3"/>
        <v>149809.728</v>
      </c>
      <c r="H63" s="222">
        <v>201475.53999999998</v>
      </c>
      <c r="I63" s="222">
        <f t="shared" si="4"/>
        <v>51665.811999999976</v>
      </c>
    </row>
    <row r="64" spans="1:9" x14ac:dyDescent="0.3">
      <c r="A64" s="224">
        <v>28003</v>
      </c>
      <c r="B64" s="223" t="s">
        <v>258</v>
      </c>
      <c r="C64" s="222">
        <v>197359.94999999998</v>
      </c>
      <c r="D64" s="222">
        <v>213596.31999999998</v>
      </c>
      <c r="E64" s="222">
        <v>222116.31999999998</v>
      </c>
      <c r="F64" s="222">
        <f t="shared" si="5"/>
        <v>222116.31999999998</v>
      </c>
      <c r="G64" s="222">
        <f t="shared" si="3"/>
        <v>133269.79199999999</v>
      </c>
      <c r="H64" s="222">
        <v>250467.97999999998</v>
      </c>
      <c r="I64" s="222">
        <f t="shared" si="4"/>
        <v>117198.18799999999</v>
      </c>
    </row>
    <row r="65" spans="1:9" x14ac:dyDescent="0.3">
      <c r="A65" s="224">
        <v>30001</v>
      </c>
      <c r="B65" s="223" t="s">
        <v>259</v>
      </c>
      <c r="C65" s="222">
        <v>121804.24</v>
      </c>
      <c r="D65" s="222">
        <v>121682.29000000001</v>
      </c>
      <c r="E65" s="222">
        <v>88268.4</v>
      </c>
      <c r="F65" s="222">
        <f t="shared" si="5"/>
        <v>121804.24</v>
      </c>
      <c r="G65" s="222">
        <f t="shared" si="3"/>
        <v>73082.543999999994</v>
      </c>
      <c r="H65" s="222">
        <v>126078.36</v>
      </c>
      <c r="I65" s="222">
        <f t="shared" si="4"/>
        <v>52995.816000000006</v>
      </c>
    </row>
    <row r="66" spans="1:9" x14ac:dyDescent="0.3">
      <c r="A66" s="224">
        <v>31001</v>
      </c>
      <c r="B66" s="223" t="s">
        <v>260</v>
      </c>
      <c r="C66" s="222">
        <v>573926.30000000005</v>
      </c>
      <c r="D66" s="222">
        <v>1142245.54</v>
      </c>
      <c r="E66" s="222">
        <v>625399.24</v>
      </c>
      <c r="F66" s="222">
        <f t="shared" si="5"/>
        <v>1142245.54</v>
      </c>
      <c r="G66" s="222">
        <f t="shared" si="3"/>
        <v>685347.32400000002</v>
      </c>
      <c r="H66" s="222">
        <v>199639.09999999998</v>
      </c>
      <c r="I66" s="222">
        <f t="shared" si="4"/>
        <v>0</v>
      </c>
    </row>
    <row r="67" spans="1:9" x14ac:dyDescent="0.3">
      <c r="A67" s="224">
        <v>41002</v>
      </c>
      <c r="B67" s="223" t="s">
        <v>261</v>
      </c>
      <c r="C67" s="222">
        <v>1082299.79</v>
      </c>
      <c r="D67" s="222">
        <v>1038500.57</v>
      </c>
      <c r="E67" s="222">
        <v>1062927.3500000001</v>
      </c>
      <c r="F67" s="222">
        <f t="shared" si="5"/>
        <v>1082299.79</v>
      </c>
      <c r="G67" s="222">
        <f t="shared" si="3"/>
        <v>649379.87399999995</v>
      </c>
      <c r="H67" s="222">
        <v>721675.61</v>
      </c>
      <c r="I67" s="222">
        <f t="shared" si="4"/>
        <v>72295.736000000034</v>
      </c>
    </row>
    <row r="68" spans="1:9" x14ac:dyDescent="0.3">
      <c r="A68" s="224">
        <v>14002</v>
      </c>
      <c r="B68" s="223" t="s">
        <v>262</v>
      </c>
      <c r="C68" s="222">
        <v>47977.54</v>
      </c>
      <c r="D68" s="222">
        <v>40191.18</v>
      </c>
      <c r="E68" s="222">
        <v>54986.26</v>
      </c>
      <c r="F68" s="222">
        <f t="shared" si="5"/>
        <v>54986.26</v>
      </c>
      <c r="G68" s="222">
        <f t="shared" ref="G68:G99" si="6">F68*0.6</f>
        <v>32991.756000000001</v>
      </c>
      <c r="H68" s="222">
        <v>51524.340000000004</v>
      </c>
      <c r="I68" s="222">
        <f t="shared" ref="I68:I99" si="7">IF(H68&gt;G68,H68-G68,0)</f>
        <v>18532.584000000003</v>
      </c>
    </row>
    <row r="69" spans="1:9" x14ac:dyDescent="0.3">
      <c r="A69" s="224">
        <v>10001</v>
      </c>
      <c r="B69" s="223" t="s">
        <v>263</v>
      </c>
      <c r="C69" s="222">
        <v>85091.39</v>
      </c>
      <c r="D69" s="222">
        <v>95702.9</v>
      </c>
      <c r="E69" s="222">
        <v>85387.23</v>
      </c>
      <c r="F69" s="222">
        <f t="shared" si="5"/>
        <v>95702.9</v>
      </c>
      <c r="G69" s="222">
        <f t="shared" si="6"/>
        <v>57421.74</v>
      </c>
      <c r="H69" s="222">
        <v>80834.299999999988</v>
      </c>
      <c r="I69" s="222">
        <f t="shared" si="7"/>
        <v>23412.55999999999</v>
      </c>
    </row>
    <row r="70" spans="1:9" x14ac:dyDescent="0.3">
      <c r="A70" s="224">
        <v>34002</v>
      </c>
      <c r="B70" s="223" t="s">
        <v>264</v>
      </c>
      <c r="C70" s="222">
        <v>221221</v>
      </c>
      <c r="D70" s="222">
        <v>159451.24</v>
      </c>
      <c r="E70" s="222">
        <v>196813.23</v>
      </c>
      <c r="F70" s="222">
        <f t="shared" si="5"/>
        <v>221221</v>
      </c>
      <c r="G70" s="222">
        <f t="shared" si="6"/>
        <v>132732.6</v>
      </c>
      <c r="H70" s="222">
        <v>184284.99000000002</v>
      </c>
      <c r="I70" s="222">
        <f t="shared" si="7"/>
        <v>51552.390000000014</v>
      </c>
    </row>
    <row r="71" spans="1:9" x14ac:dyDescent="0.3">
      <c r="A71" s="224">
        <v>51002</v>
      </c>
      <c r="B71" s="223" t="s">
        <v>265</v>
      </c>
      <c r="C71" s="222">
        <v>189665.39</v>
      </c>
      <c r="D71" s="222">
        <v>193268.5</v>
      </c>
      <c r="E71" s="222">
        <v>201216.16999999998</v>
      </c>
      <c r="F71" s="222">
        <f t="shared" si="5"/>
        <v>201216.16999999998</v>
      </c>
      <c r="G71" s="222">
        <f t="shared" si="6"/>
        <v>120729.70199999999</v>
      </c>
      <c r="H71" s="222">
        <v>183327.93</v>
      </c>
      <c r="I71" s="222">
        <f t="shared" si="7"/>
        <v>62598.228000000003</v>
      </c>
    </row>
    <row r="72" spans="1:9" x14ac:dyDescent="0.3">
      <c r="A72" s="224">
        <v>56006</v>
      </c>
      <c r="B72" s="223" t="s">
        <v>266</v>
      </c>
      <c r="C72" s="222">
        <v>106001.4</v>
      </c>
      <c r="D72" s="222">
        <v>119228.43</v>
      </c>
      <c r="E72" s="222">
        <v>136913.42000000001</v>
      </c>
      <c r="F72" s="222">
        <f t="shared" ref="F72:F96" si="8">MAX(C72:E72)</f>
        <v>136913.42000000001</v>
      </c>
      <c r="G72" s="222">
        <f t="shared" si="6"/>
        <v>82148.052000000011</v>
      </c>
      <c r="H72" s="222">
        <v>129685.47</v>
      </c>
      <c r="I72" s="222">
        <f t="shared" si="7"/>
        <v>47537.417999999991</v>
      </c>
    </row>
    <row r="73" spans="1:9" x14ac:dyDescent="0.3">
      <c r="A73" s="224">
        <v>23002</v>
      </c>
      <c r="B73" s="223" t="s">
        <v>267</v>
      </c>
      <c r="C73" s="222">
        <v>347696.63</v>
      </c>
      <c r="D73" s="222">
        <v>538581.78</v>
      </c>
      <c r="E73" s="222">
        <v>327325.52</v>
      </c>
      <c r="F73" s="222">
        <f t="shared" si="8"/>
        <v>538581.78</v>
      </c>
      <c r="G73" s="222">
        <f t="shared" si="6"/>
        <v>323149.06800000003</v>
      </c>
      <c r="H73" s="222">
        <v>348622.95000000007</v>
      </c>
      <c r="I73" s="222">
        <f t="shared" si="7"/>
        <v>25473.882000000041</v>
      </c>
    </row>
    <row r="74" spans="1:9" x14ac:dyDescent="0.3">
      <c r="A74" s="224">
        <v>53002</v>
      </c>
      <c r="B74" s="223" t="s">
        <v>268</v>
      </c>
      <c r="C74" s="222">
        <v>149701.13999999998</v>
      </c>
      <c r="D74" s="222">
        <v>88022.53</v>
      </c>
      <c r="E74" s="222">
        <v>137919.45000000001</v>
      </c>
      <c r="F74" s="222">
        <f t="shared" si="8"/>
        <v>149701.13999999998</v>
      </c>
      <c r="G74" s="222">
        <f t="shared" si="6"/>
        <v>89820.683999999994</v>
      </c>
      <c r="H74" s="222">
        <v>132431.1</v>
      </c>
      <c r="I74" s="222">
        <f t="shared" si="7"/>
        <v>42610.416000000012</v>
      </c>
    </row>
    <row r="75" spans="1:9" x14ac:dyDescent="0.3">
      <c r="A75" s="224">
        <v>48003</v>
      </c>
      <c r="B75" s="223" t="s">
        <v>269</v>
      </c>
      <c r="C75" s="222">
        <v>553484.14999999991</v>
      </c>
      <c r="D75" s="222">
        <v>352755.67000000004</v>
      </c>
      <c r="E75" s="222">
        <v>398277.37</v>
      </c>
      <c r="F75" s="222">
        <f t="shared" si="8"/>
        <v>553484.14999999991</v>
      </c>
      <c r="G75" s="222">
        <f t="shared" si="6"/>
        <v>332090.48999999993</v>
      </c>
      <c r="H75" s="222">
        <v>415678.34</v>
      </c>
      <c r="I75" s="222">
        <f t="shared" si="7"/>
        <v>83587.850000000093</v>
      </c>
    </row>
    <row r="76" spans="1:9" x14ac:dyDescent="0.3">
      <c r="A76" s="224">
        <v>2002</v>
      </c>
      <c r="B76" s="223" t="s">
        <v>270</v>
      </c>
      <c r="C76" s="222">
        <v>995109.82000000007</v>
      </c>
      <c r="D76" s="222">
        <v>938965.08000000007</v>
      </c>
      <c r="E76" s="222">
        <v>738860.98999999987</v>
      </c>
      <c r="F76" s="222">
        <f t="shared" si="8"/>
        <v>995109.82000000007</v>
      </c>
      <c r="G76" s="222">
        <f t="shared" si="6"/>
        <v>597065.89199999999</v>
      </c>
      <c r="H76" s="222">
        <v>719900.92</v>
      </c>
      <c r="I76" s="222">
        <f t="shared" si="7"/>
        <v>122835.02800000005</v>
      </c>
    </row>
    <row r="77" spans="1:9" x14ac:dyDescent="0.3">
      <c r="A77" s="224">
        <v>22006</v>
      </c>
      <c r="B77" s="223" t="s">
        <v>271</v>
      </c>
      <c r="C77" s="222">
        <v>747117.36</v>
      </c>
      <c r="D77" s="222">
        <v>447373.63</v>
      </c>
      <c r="E77" s="222">
        <v>450426.98</v>
      </c>
      <c r="F77" s="222">
        <f t="shared" si="8"/>
        <v>747117.36</v>
      </c>
      <c r="G77" s="222">
        <f t="shared" si="6"/>
        <v>448270.41599999997</v>
      </c>
      <c r="H77" s="222">
        <v>485506.49</v>
      </c>
      <c r="I77" s="222">
        <f t="shared" si="7"/>
        <v>37236.074000000022</v>
      </c>
    </row>
    <row r="78" spans="1:9" x14ac:dyDescent="0.3">
      <c r="A78" s="224">
        <v>13003</v>
      </c>
      <c r="B78" s="223" t="s">
        <v>272</v>
      </c>
      <c r="C78" s="222">
        <v>229649.61000000002</v>
      </c>
      <c r="D78" s="222">
        <v>92185.55</v>
      </c>
      <c r="E78" s="222">
        <v>255995.44</v>
      </c>
      <c r="F78" s="222">
        <f t="shared" si="8"/>
        <v>255995.44</v>
      </c>
      <c r="G78" s="222">
        <f t="shared" si="6"/>
        <v>153597.264</v>
      </c>
      <c r="H78" s="222">
        <v>170414.43</v>
      </c>
      <c r="I78" s="222">
        <f t="shared" si="7"/>
        <v>16817.165999999997</v>
      </c>
    </row>
    <row r="79" spans="1:9" x14ac:dyDescent="0.3">
      <c r="A79" s="224">
        <v>2003</v>
      </c>
      <c r="B79" s="223" t="s">
        <v>273</v>
      </c>
      <c r="C79" s="222">
        <v>76933.929999999993</v>
      </c>
      <c r="D79" s="222">
        <v>96331.38</v>
      </c>
      <c r="E79" s="222">
        <v>93036.5</v>
      </c>
      <c r="F79" s="222">
        <f t="shared" si="8"/>
        <v>96331.38</v>
      </c>
      <c r="G79" s="222">
        <f t="shared" si="6"/>
        <v>57798.828000000001</v>
      </c>
      <c r="H79" s="222">
        <v>87979.06</v>
      </c>
      <c r="I79" s="222">
        <f t="shared" si="7"/>
        <v>30180.231999999996</v>
      </c>
    </row>
    <row r="80" spans="1:9" x14ac:dyDescent="0.3">
      <c r="A80" s="224">
        <v>37003</v>
      </c>
      <c r="B80" s="223" t="s">
        <v>274</v>
      </c>
      <c r="C80" s="222">
        <v>132342.99</v>
      </c>
      <c r="D80" s="222">
        <v>125229.16</v>
      </c>
      <c r="E80" s="222">
        <v>185305.68</v>
      </c>
      <c r="F80" s="222">
        <f t="shared" si="8"/>
        <v>185305.68</v>
      </c>
      <c r="G80" s="222">
        <f t="shared" si="6"/>
        <v>111183.408</v>
      </c>
      <c r="H80" s="222">
        <v>174708.82999999996</v>
      </c>
      <c r="I80" s="222">
        <f t="shared" si="7"/>
        <v>63525.421999999962</v>
      </c>
    </row>
    <row r="81" spans="1:9" x14ac:dyDescent="0.3">
      <c r="A81" s="224">
        <v>35002</v>
      </c>
      <c r="B81" s="223" t="s">
        <v>275</v>
      </c>
      <c r="C81" s="222">
        <v>313451.18</v>
      </c>
      <c r="D81" s="222">
        <v>234576.85</v>
      </c>
      <c r="E81" s="222">
        <v>210667.25</v>
      </c>
      <c r="F81" s="222">
        <f t="shared" si="8"/>
        <v>313451.18</v>
      </c>
      <c r="G81" s="222">
        <f t="shared" si="6"/>
        <v>188070.70799999998</v>
      </c>
      <c r="H81" s="222">
        <v>214650.5</v>
      </c>
      <c r="I81" s="222">
        <f t="shared" si="7"/>
        <v>26579.792000000016</v>
      </c>
    </row>
    <row r="82" spans="1:9" x14ac:dyDescent="0.3">
      <c r="A82" s="224">
        <v>7002</v>
      </c>
      <c r="B82" s="223" t="s">
        <v>276</v>
      </c>
      <c r="C82" s="222">
        <v>125580.34</v>
      </c>
      <c r="D82" s="222">
        <v>232659.33</v>
      </c>
      <c r="E82" s="222">
        <v>142175.09999999998</v>
      </c>
      <c r="F82" s="222">
        <f t="shared" si="8"/>
        <v>232659.33</v>
      </c>
      <c r="G82" s="222">
        <f t="shared" si="6"/>
        <v>139595.598</v>
      </c>
      <c r="H82" s="222">
        <v>241346.61</v>
      </c>
      <c r="I82" s="222">
        <f t="shared" si="7"/>
        <v>101751.01199999999</v>
      </c>
    </row>
    <row r="83" spans="1:9" x14ac:dyDescent="0.3">
      <c r="A83" s="224">
        <v>38003</v>
      </c>
      <c r="B83" s="223" t="s">
        <v>277</v>
      </c>
      <c r="C83" s="222">
        <v>102111.08000000002</v>
      </c>
      <c r="D83" s="222">
        <v>86944.43</v>
      </c>
      <c r="E83" s="222">
        <v>79948.17</v>
      </c>
      <c r="F83" s="222">
        <f t="shared" si="8"/>
        <v>102111.08000000002</v>
      </c>
      <c r="G83" s="222">
        <f t="shared" si="6"/>
        <v>61266.648000000008</v>
      </c>
      <c r="H83" s="222">
        <v>72437.100000000006</v>
      </c>
      <c r="I83" s="222">
        <f t="shared" si="7"/>
        <v>11170.451999999997</v>
      </c>
    </row>
    <row r="84" spans="1:9" x14ac:dyDescent="0.3">
      <c r="A84" s="224">
        <v>45005</v>
      </c>
      <c r="B84" s="223" t="s">
        <v>278</v>
      </c>
      <c r="C84" s="222">
        <v>120885.93</v>
      </c>
      <c r="D84" s="222">
        <v>136470.04999999999</v>
      </c>
      <c r="E84" s="222">
        <v>122638.28</v>
      </c>
      <c r="F84" s="222">
        <f t="shared" si="8"/>
        <v>136470.04999999999</v>
      </c>
      <c r="G84" s="222">
        <f t="shared" si="6"/>
        <v>81882.029999999984</v>
      </c>
      <c r="H84" s="222">
        <v>111505.93000000001</v>
      </c>
      <c r="I84" s="222">
        <f t="shared" si="7"/>
        <v>29623.900000000023</v>
      </c>
    </row>
    <row r="85" spans="1:9" x14ac:dyDescent="0.3">
      <c r="A85" s="224">
        <v>40001</v>
      </c>
      <c r="B85" s="223" t="s">
        <v>279</v>
      </c>
      <c r="C85" s="222">
        <v>349074.72</v>
      </c>
      <c r="D85" s="222">
        <v>307690.25</v>
      </c>
      <c r="E85" s="222">
        <v>332465.62</v>
      </c>
      <c r="F85" s="222">
        <f t="shared" si="8"/>
        <v>349074.72</v>
      </c>
      <c r="G85" s="222">
        <f t="shared" si="6"/>
        <v>209444.83199999997</v>
      </c>
      <c r="H85" s="222">
        <v>287882.99</v>
      </c>
      <c r="I85" s="222">
        <f t="shared" si="7"/>
        <v>78438.158000000025</v>
      </c>
    </row>
    <row r="86" spans="1:9" x14ac:dyDescent="0.3">
      <c r="A86" s="224">
        <v>52004</v>
      </c>
      <c r="B86" s="223" t="s">
        <v>280</v>
      </c>
      <c r="C86" s="222">
        <v>211722.07999999996</v>
      </c>
      <c r="D86" s="222">
        <v>246975.35999999999</v>
      </c>
      <c r="E86" s="222">
        <v>236260.78</v>
      </c>
      <c r="F86" s="222">
        <f t="shared" si="8"/>
        <v>246975.35999999999</v>
      </c>
      <c r="G86" s="222">
        <f t="shared" si="6"/>
        <v>148185.21599999999</v>
      </c>
      <c r="H86" s="222">
        <v>194084.99</v>
      </c>
      <c r="I86" s="222">
        <f t="shared" si="7"/>
        <v>45899.774000000005</v>
      </c>
    </row>
    <row r="87" spans="1:9" x14ac:dyDescent="0.3">
      <c r="A87" s="224">
        <v>41004</v>
      </c>
      <c r="B87" s="223" t="s">
        <v>281</v>
      </c>
      <c r="C87" s="222">
        <v>788684.33</v>
      </c>
      <c r="D87" s="222">
        <v>491646.77</v>
      </c>
      <c r="E87" s="222">
        <v>512435.68</v>
      </c>
      <c r="F87" s="222">
        <f t="shared" si="8"/>
        <v>788684.33</v>
      </c>
      <c r="G87" s="222">
        <f t="shared" si="6"/>
        <v>473210.59799999994</v>
      </c>
      <c r="H87" s="222">
        <v>539296.43000000005</v>
      </c>
      <c r="I87" s="222">
        <f t="shared" si="7"/>
        <v>66085.832000000111</v>
      </c>
    </row>
    <row r="88" spans="1:9" x14ac:dyDescent="0.3">
      <c r="A88" s="224">
        <v>44002</v>
      </c>
      <c r="B88" s="223" t="s">
        <v>282</v>
      </c>
      <c r="C88" s="222">
        <v>309467.24</v>
      </c>
      <c r="D88" s="222">
        <v>323196.90999999992</v>
      </c>
      <c r="E88" s="222">
        <v>237372.48</v>
      </c>
      <c r="F88" s="222">
        <f t="shared" si="8"/>
        <v>323196.90999999992</v>
      </c>
      <c r="G88" s="222">
        <f t="shared" si="6"/>
        <v>193918.14599999995</v>
      </c>
      <c r="H88" s="222">
        <v>264211.19</v>
      </c>
      <c r="I88" s="222">
        <f t="shared" si="7"/>
        <v>70293.044000000053</v>
      </c>
    </row>
    <row r="89" spans="1:9" x14ac:dyDescent="0.3">
      <c r="A89" s="224">
        <v>42001</v>
      </c>
      <c r="B89" s="223" t="s">
        <v>283</v>
      </c>
      <c r="C89" s="222">
        <v>364969.75</v>
      </c>
      <c r="D89" s="222">
        <v>365978.95</v>
      </c>
      <c r="E89" s="222">
        <v>619678.30000000005</v>
      </c>
      <c r="F89" s="222">
        <f t="shared" si="8"/>
        <v>619678.30000000005</v>
      </c>
      <c r="G89" s="222">
        <f t="shared" si="6"/>
        <v>371806.98000000004</v>
      </c>
      <c r="H89" s="222">
        <v>333295.52</v>
      </c>
      <c r="I89" s="222">
        <f t="shared" si="7"/>
        <v>0</v>
      </c>
    </row>
    <row r="90" spans="1:9" x14ac:dyDescent="0.3">
      <c r="A90" s="224">
        <v>39002</v>
      </c>
      <c r="B90" s="223" t="s">
        <v>284</v>
      </c>
      <c r="C90" s="222">
        <v>342654.59</v>
      </c>
      <c r="D90" s="222">
        <v>350191.87</v>
      </c>
      <c r="E90" s="222">
        <v>371367.95</v>
      </c>
      <c r="F90" s="222">
        <f t="shared" si="8"/>
        <v>371367.95</v>
      </c>
      <c r="G90" s="222">
        <f t="shared" si="6"/>
        <v>222820.77</v>
      </c>
      <c r="H90" s="222">
        <v>336396.33000000007</v>
      </c>
      <c r="I90" s="222">
        <f t="shared" si="7"/>
        <v>113575.56000000008</v>
      </c>
    </row>
    <row r="91" spans="1:9" x14ac:dyDescent="0.3">
      <c r="A91" s="224">
        <v>60003</v>
      </c>
      <c r="B91" s="223" t="s">
        <v>285</v>
      </c>
      <c r="C91" s="222">
        <v>511327.95</v>
      </c>
      <c r="D91" s="222">
        <v>289140.68000000005</v>
      </c>
      <c r="E91" s="222">
        <v>292722.36</v>
      </c>
      <c r="F91" s="222">
        <f t="shared" si="8"/>
        <v>511327.95</v>
      </c>
      <c r="G91" s="222">
        <f t="shared" si="6"/>
        <v>306796.77</v>
      </c>
      <c r="H91" s="222">
        <v>326576.41000000003</v>
      </c>
      <c r="I91" s="222">
        <f t="shared" si="7"/>
        <v>19779.640000000014</v>
      </c>
    </row>
    <row r="92" spans="1:9" x14ac:dyDescent="0.3">
      <c r="A92" s="224">
        <v>43007</v>
      </c>
      <c r="B92" s="223" t="s">
        <v>286</v>
      </c>
      <c r="C92" s="222">
        <v>247655.64</v>
      </c>
      <c r="D92" s="222">
        <v>176217.51</v>
      </c>
      <c r="E92" s="222">
        <v>175942.33000000002</v>
      </c>
      <c r="F92" s="222">
        <f t="shared" si="8"/>
        <v>247655.64</v>
      </c>
      <c r="G92" s="222">
        <f t="shared" si="6"/>
        <v>148593.38399999999</v>
      </c>
      <c r="H92" s="222">
        <v>174530.87</v>
      </c>
      <c r="I92" s="222">
        <f t="shared" si="7"/>
        <v>25937.486000000004</v>
      </c>
    </row>
    <row r="93" spans="1:9" x14ac:dyDescent="0.3">
      <c r="A93" s="224">
        <v>15001</v>
      </c>
      <c r="B93" s="223" t="s">
        <v>287</v>
      </c>
      <c r="C93" s="222">
        <v>50464.380000000005</v>
      </c>
      <c r="D93" s="222">
        <v>42220.03</v>
      </c>
      <c r="E93" s="222">
        <v>45371.41</v>
      </c>
      <c r="F93" s="222">
        <f t="shared" si="8"/>
        <v>50464.380000000005</v>
      </c>
      <c r="G93" s="222">
        <f t="shared" si="6"/>
        <v>30278.628000000001</v>
      </c>
      <c r="H93" s="222">
        <v>43304.45</v>
      </c>
      <c r="I93" s="222">
        <f t="shared" si="7"/>
        <v>13025.821999999996</v>
      </c>
    </row>
    <row r="94" spans="1:9" x14ac:dyDescent="0.3">
      <c r="A94" s="224">
        <v>15002</v>
      </c>
      <c r="B94" s="223" t="s">
        <v>288</v>
      </c>
      <c r="C94" s="222">
        <v>129666.38000000002</v>
      </c>
      <c r="D94" s="222">
        <v>183586</v>
      </c>
      <c r="E94" s="222">
        <v>128058.32999999999</v>
      </c>
      <c r="F94" s="222">
        <f t="shared" si="8"/>
        <v>183586</v>
      </c>
      <c r="G94" s="222">
        <f t="shared" si="6"/>
        <v>110151.59999999999</v>
      </c>
      <c r="H94" s="222">
        <v>112671.3</v>
      </c>
      <c r="I94" s="222">
        <f t="shared" si="7"/>
        <v>2519.7000000000116</v>
      </c>
    </row>
    <row r="95" spans="1:9" x14ac:dyDescent="0.3">
      <c r="A95" s="224">
        <v>46001</v>
      </c>
      <c r="B95" s="223" t="s">
        <v>289</v>
      </c>
      <c r="C95" s="222">
        <v>1124805.72</v>
      </c>
      <c r="D95" s="222">
        <v>1200527.8199999998</v>
      </c>
      <c r="E95" s="222">
        <v>1055844.3199999998</v>
      </c>
      <c r="F95" s="222">
        <f t="shared" si="8"/>
        <v>1200527.8199999998</v>
      </c>
      <c r="G95" s="222">
        <f t="shared" si="6"/>
        <v>720316.69199999992</v>
      </c>
      <c r="H95" s="222">
        <v>689741.91999999993</v>
      </c>
      <c r="I95" s="222">
        <f t="shared" si="7"/>
        <v>0</v>
      </c>
    </row>
    <row r="96" spans="1:9" x14ac:dyDescent="0.3">
      <c r="A96" s="224">
        <v>33002</v>
      </c>
      <c r="B96" s="223" t="s">
        <v>290</v>
      </c>
      <c r="C96" s="222">
        <v>250117.73</v>
      </c>
      <c r="D96" s="222">
        <v>622458.35</v>
      </c>
      <c r="E96" s="222">
        <v>347458.08999999997</v>
      </c>
      <c r="F96" s="222">
        <f t="shared" si="8"/>
        <v>622458.35</v>
      </c>
      <c r="G96" s="222">
        <f t="shared" si="6"/>
        <v>373475.00999999995</v>
      </c>
      <c r="H96" s="222">
        <v>404767.14</v>
      </c>
      <c r="I96" s="222">
        <f t="shared" si="7"/>
        <v>31292.130000000063</v>
      </c>
    </row>
    <row r="97" spans="1:9" x14ac:dyDescent="0.3">
      <c r="A97" s="224">
        <v>25004</v>
      </c>
      <c r="B97" s="223" t="s">
        <v>291</v>
      </c>
      <c r="C97" s="222">
        <v>440440.14000000007</v>
      </c>
      <c r="D97" s="222">
        <v>401538.12999999995</v>
      </c>
      <c r="E97" s="222">
        <v>334307.69000000006</v>
      </c>
      <c r="F97" s="229">
        <f>MAX(C97:E97)+$F$159</f>
        <v>513023.38590000005</v>
      </c>
      <c r="G97" s="222">
        <f t="shared" si="6"/>
        <v>307814.03154</v>
      </c>
      <c r="H97" s="222">
        <v>409614.05</v>
      </c>
      <c r="I97" s="222">
        <f t="shared" si="7"/>
        <v>101800.01845999999</v>
      </c>
    </row>
    <row r="98" spans="1:9" x14ac:dyDescent="0.3">
      <c r="A98" s="224">
        <v>29004</v>
      </c>
      <c r="B98" s="223" t="s">
        <v>292</v>
      </c>
      <c r="C98" s="222">
        <v>373389.05</v>
      </c>
      <c r="D98" s="222">
        <v>218238.66</v>
      </c>
      <c r="E98" s="222">
        <v>263889.01</v>
      </c>
      <c r="F98" s="222">
        <f t="shared" ref="F98:F140" si="9">MAX(C98:E98)</f>
        <v>373389.05</v>
      </c>
      <c r="G98" s="222">
        <f t="shared" si="6"/>
        <v>224033.43</v>
      </c>
      <c r="H98" s="222">
        <v>261174.42</v>
      </c>
      <c r="I98" s="222">
        <f t="shared" si="7"/>
        <v>37140.99000000002</v>
      </c>
    </row>
    <row r="99" spans="1:9" x14ac:dyDescent="0.3">
      <c r="A99" s="224">
        <v>17002</v>
      </c>
      <c r="B99" s="223" t="s">
        <v>293</v>
      </c>
      <c r="C99" s="222">
        <v>757213.58000000007</v>
      </c>
      <c r="D99" s="222">
        <v>818476.92999999993</v>
      </c>
      <c r="E99" s="222">
        <v>1355541.22</v>
      </c>
      <c r="F99" s="222">
        <f t="shared" si="9"/>
        <v>1355541.22</v>
      </c>
      <c r="G99" s="222">
        <f t="shared" si="6"/>
        <v>813324.73199999996</v>
      </c>
      <c r="H99" s="222">
        <v>826030.46</v>
      </c>
      <c r="I99" s="222">
        <f t="shared" si="7"/>
        <v>12705.728000000003</v>
      </c>
    </row>
    <row r="100" spans="1:9" x14ac:dyDescent="0.3">
      <c r="A100" s="224">
        <v>62006</v>
      </c>
      <c r="B100" s="223" t="s">
        <v>294</v>
      </c>
      <c r="C100" s="222">
        <v>288506.34999999998</v>
      </c>
      <c r="D100" s="222">
        <v>394977.67000000004</v>
      </c>
      <c r="E100" s="222">
        <v>293632.93</v>
      </c>
      <c r="F100" s="222">
        <f t="shared" si="9"/>
        <v>394977.67000000004</v>
      </c>
      <c r="G100" s="222">
        <f t="shared" ref="G100:G131" si="10">F100*0.6</f>
        <v>236986.60200000001</v>
      </c>
      <c r="H100" s="222">
        <v>376608.24</v>
      </c>
      <c r="I100" s="222">
        <f t="shared" ref="I100:I131" si="11">IF(H100&gt;G100,H100-G100,0)</f>
        <v>139621.63799999998</v>
      </c>
    </row>
    <row r="101" spans="1:9" x14ac:dyDescent="0.3">
      <c r="A101" s="224">
        <v>43002</v>
      </c>
      <c r="B101" s="223" t="s">
        <v>295</v>
      </c>
      <c r="C101" s="222">
        <v>88607.65</v>
      </c>
      <c r="D101" s="222">
        <v>90671.51999999999</v>
      </c>
      <c r="E101" s="222">
        <v>90002.75</v>
      </c>
      <c r="F101" s="222">
        <f t="shared" si="9"/>
        <v>90671.51999999999</v>
      </c>
      <c r="G101" s="222">
        <f t="shared" si="10"/>
        <v>54402.911999999989</v>
      </c>
      <c r="H101" s="222">
        <v>92665.650000000009</v>
      </c>
      <c r="I101" s="222">
        <f t="shared" si="11"/>
        <v>38262.738000000019</v>
      </c>
    </row>
    <row r="102" spans="1:9" x14ac:dyDescent="0.3">
      <c r="A102" s="224">
        <v>17003</v>
      </c>
      <c r="B102" s="223" t="s">
        <v>296</v>
      </c>
      <c r="C102" s="222">
        <v>100106.23999999999</v>
      </c>
      <c r="D102" s="222">
        <v>50561.59</v>
      </c>
      <c r="E102" s="222">
        <v>79470.06</v>
      </c>
      <c r="F102" s="222">
        <f t="shared" si="9"/>
        <v>100106.23999999999</v>
      </c>
      <c r="G102" s="222">
        <f t="shared" si="10"/>
        <v>60063.743999999992</v>
      </c>
      <c r="H102" s="222">
        <v>84020.800000000003</v>
      </c>
      <c r="I102" s="222">
        <f t="shared" si="11"/>
        <v>23957.056000000011</v>
      </c>
    </row>
    <row r="103" spans="1:9" x14ac:dyDescent="0.3">
      <c r="A103" s="224">
        <v>51003</v>
      </c>
      <c r="B103" s="223" t="s">
        <v>297</v>
      </c>
      <c r="C103" s="222">
        <v>97041.049999999988</v>
      </c>
      <c r="D103" s="222">
        <v>95898.27</v>
      </c>
      <c r="E103" s="222">
        <v>71787.17</v>
      </c>
      <c r="F103" s="222">
        <f t="shared" si="9"/>
        <v>97041.049999999988</v>
      </c>
      <c r="G103" s="222">
        <f t="shared" si="10"/>
        <v>58224.62999999999</v>
      </c>
      <c r="H103" s="222">
        <v>69229.679999999993</v>
      </c>
      <c r="I103" s="222">
        <f t="shared" si="11"/>
        <v>11005.050000000003</v>
      </c>
    </row>
    <row r="104" spans="1:9" x14ac:dyDescent="0.3">
      <c r="A104" s="224">
        <v>9002</v>
      </c>
      <c r="B104" s="223" t="s">
        <v>298</v>
      </c>
      <c r="C104" s="222">
        <v>195883.69</v>
      </c>
      <c r="D104" s="222">
        <v>198250.52</v>
      </c>
      <c r="E104" s="222">
        <v>206455.84000000003</v>
      </c>
      <c r="F104" s="222">
        <f t="shared" si="9"/>
        <v>206455.84000000003</v>
      </c>
      <c r="G104" s="222">
        <f t="shared" si="10"/>
        <v>123873.50400000002</v>
      </c>
      <c r="H104" s="222">
        <v>163495.12</v>
      </c>
      <c r="I104" s="222">
        <f t="shared" si="11"/>
        <v>39621.61599999998</v>
      </c>
    </row>
    <row r="105" spans="1:9" x14ac:dyDescent="0.3">
      <c r="A105" s="224">
        <v>56007</v>
      </c>
      <c r="B105" s="223" t="s">
        <v>299</v>
      </c>
      <c r="C105" s="222">
        <v>160382.31</v>
      </c>
      <c r="D105" s="222">
        <v>123220.14</v>
      </c>
      <c r="E105" s="222">
        <v>133567.26</v>
      </c>
      <c r="F105" s="222">
        <f t="shared" si="9"/>
        <v>160382.31</v>
      </c>
      <c r="G105" s="222">
        <f t="shared" si="10"/>
        <v>96229.385999999999</v>
      </c>
      <c r="H105" s="222">
        <v>125828</v>
      </c>
      <c r="I105" s="222">
        <f t="shared" si="11"/>
        <v>29598.614000000001</v>
      </c>
    </row>
    <row r="106" spans="1:9" x14ac:dyDescent="0.3">
      <c r="A106" s="224">
        <v>23003</v>
      </c>
      <c r="B106" s="223" t="s">
        <v>300</v>
      </c>
      <c r="C106" s="222">
        <v>24705.78</v>
      </c>
      <c r="D106" s="222">
        <v>10634.919999999998</v>
      </c>
      <c r="E106" s="222">
        <v>14726.89</v>
      </c>
      <c r="F106" s="222">
        <f t="shared" si="9"/>
        <v>24705.78</v>
      </c>
      <c r="G106" s="222">
        <f t="shared" si="10"/>
        <v>14823.467999999999</v>
      </c>
      <c r="H106" s="222">
        <v>21832.65</v>
      </c>
      <c r="I106" s="222">
        <f t="shared" si="11"/>
        <v>7009.1820000000025</v>
      </c>
    </row>
    <row r="107" spans="1:9" x14ac:dyDescent="0.3">
      <c r="A107" s="224">
        <v>65001</v>
      </c>
      <c r="B107" s="223" t="s">
        <v>373</v>
      </c>
      <c r="C107" s="222">
        <v>387268.04</v>
      </c>
      <c r="D107" s="222">
        <v>423696.17</v>
      </c>
      <c r="E107" s="222">
        <v>402355.69</v>
      </c>
      <c r="F107" s="222">
        <f t="shared" si="9"/>
        <v>423696.17</v>
      </c>
      <c r="G107" s="222">
        <f t="shared" si="10"/>
        <v>254217.70199999999</v>
      </c>
      <c r="H107" s="222">
        <v>397707.52999999997</v>
      </c>
      <c r="I107" s="222">
        <f t="shared" si="11"/>
        <v>143489.82799999998</v>
      </c>
    </row>
    <row r="108" spans="1:9" x14ac:dyDescent="0.3">
      <c r="A108" s="224">
        <v>39005</v>
      </c>
      <c r="B108" s="223" t="s">
        <v>302</v>
      </c>
      <c r="C108" s="222">
        <v>116294.22</v>
      </c>
      <c r="D108" s="222">
        <v>75633.260000000009</v>
      </c>
      <c r="E108" s="222">
        <v>79553.14</v>
      </c>
      <c r="F108" s="222">
        <f t="shared" si="9"/>
        <v>116294.22</v>
      </c>
      <c r="G108" s="222">
        <f t="shared" si="10"/>
        <v>69776.531999999992</v>
      </c>
      <c r="H108" s="222">
        <v>65090.039999999994</v>
      </c>
      <c r="I108" s="222">
        <f t="shared" si="11"/>
        <v>0</v>
      </c>
    </row>
    <row r="109" spans="1:9" x14ac:dyDescent="0.3">
      <c r="A109" s="224">
        <v>60004</v>
      </c>
      <c r="B109" s="223" t="s">
        <v>303</v>
      </c>
      <c r="C109" s="222">
        <v>131981.62</v>
      </c>
      <c r="D109" s="222">
        <v>111275.04</v>
      </c>
      <c r="E109" s="222">
        <v>94373.41</v>
      </c>
      <c r="F109" s="222">
        <f t="shared" si="9"/>
        <v>131981.62</v>
      </c>
      <c r="G109" s="222">
        <f t="shared" si="10"/>
        <v>79188.971999999994</v>
      </c>
      <c r="H109" s="222">
        <v>112768.29000000001</v>
      </c>
      <c r="I109" s="222">
        <f t="shared" si="11"/>
        <v>33579.318000000014</v>
      </c>
    </row>
    <row r="110" spans="1:9" x14ac:dyDescent="0.3">
      <c r="A110" s="224">
        <v>33003</v>
      </c>
      <c r="B110" s="223" t="s">
        <v>304</v>
      </c>
      <c r="C110" s="222">
        <v>197100.24</v>
      </c>
      <c r="D110" s="222">
        <v>205405.46000000002</v>
      </c>
      <c r="E110" s="222">
        <v>199051.63</v>
      </c>
      <c r="F110" s="222">
        <f t="shared" si="9"/>
        <v>205405.46000000002</v>
      </c>
      <c r="G110" s="222">
        <f t="shared" si="10"/>
        <v>123243.27600000001</v>
      </c>
      <c r="H110" s="222">
        <v>186792.34000000003</v>
      </c>
      <c r="I110" s="222">
        <f t="shared" si="11"/>
        <v>63549.064000000013</v>
      </c>
    </row>
    <row r="111" spans="1:9" x14ac:dyDescent="0.3">
      <c r="A111" s="224">
        <v>32002</v>
      </c>
      <c r="B111" s="223" t="s">
        <v>305</v>
      </c>
      <c r="C111" s="222">
        <v>1140056.1599999999</v>
      </c>
      <c r="D111" s="222">
        <v>1072904.83</v>
      </c>
      <c r="E111" s="222">
        <v>1287373.52</v>
      </c>
      <c r="F111" s="222">
        <f t="shared" si="9"/>
        <v>1287373.52</v>
      </c>
      <c r="G111" s="222">
        <f t="shared" si="10"/>
        <v>772424.11199999996</v>
      </c>
      <c r="H111" s="222">
        <v>1048776.23</v>
      </c>
      <c r="I111" s="222">
        <f t="shared" si="11"/>
        <v>276352.11800000002</v>
      </c>
    </row>
    <row r="112" spans="1:9" x14ac:dyDescent="0.3">
      <c r="A112" s="224">
        <v>1001</v>
      </c>
      <c r="B112" s="223" t="s">
        <v>306</v>
      </c>
      <c r="C112" s="222">
        <v>247178.73000000004</v>
      </c>
      <c r="D112" s="222">
        <v>166391.15000000002</v>
      </c>
      <c r="E112" s="222">
        <v>151746.99000000002</v>
      </c>
      <c r="F112" s="222">
        <f t="shared" si="9"/>
        <v>247178.73000000004</v>
      </c>
      <c r="G112" s="222">
        <f t="shared" si="10"/>
        <v>148307.23800000001</v>
      </c>
      <c r="H112" s="222">
        <v>147288.79999999999</v>
      </c>
      <c r="I112" s="222">
        <f t="shared" si="11"/>
        <v>0</v>
      </c>
    </row>
    <row r="113" spans="1:9" x14ac:dyDescent="0.3">
      <c r="A113" s="224">
        <v>11005</v>
      </c>
      <c r="B113" s="223" t="s">
        <v>307</v>
      </c>
      <c r="C113" s="222">
        <v>378496.87000000005</v>
      </c>
      <c r="D113" s="222">
        <v>268969.32</v>
      </c>
      <c r="E113" s="222">
        <v>269938.24</v>
      </c>
      <c r="F113" s="222">
        <f t="shared" si="9"/>
        <v>378496.87000000005</v>
      </c>
      <c r="G113" s="222">
        <f t="shared" si="10"/>
        <v>227098.12200000003</v>
      </c>
      <c r="H113" s="222">
        <v>264029.07</v>
      </c>
      <c r="I113" s="222">
        <f t="shared" si="11"/>
        <v>36930.947999999975</v>
      </c>
    </row>
    <row r="114" spans="1:9" x14ac:dyDescent="0.3">
      <c r="A114" s="224">
        <v>51004</v>
      </c>
      <c r="B114" s="223" t="s">
        <v>372</v>
      </c>
      <c r="C114" s="222">
        <v>3800173.59</v>
      </c>
      <c r="D114" s="222">
        <v>3098201.9400000004</v>
      </c>
      <c r="E114" s="222">
        <v>3355224.83</v>
      </c>
      <c r="F114" s="222">
        <f t="shared" si="9"/>
        <v>3800173.59</v>
      </c>
      <c r="G114" s="222">
        <f t="shared" si="10"/>
        <v>2280104.1539999996</v>
      </c>
      <c r="H114" s="222">
        <v>3019744.97</v>
      </c>
      <c r="I114" s="222">
        <f t="shared" si="11"/>
        <v>739640.81600000057</v>
      </c>
    </row>
    <row r="115" spans="1:9" x14ac:dyDescent="0.3">
      <c r="A115" s="224">
        <v>56004</v>
      </c>
      <c r="B115" s="223" t="s">
        <v>309</v>
      </c>
      <c r="C115" s="222">
        <v>141501.53</v>
      </c>
      <c r="D115" s="222">
        <v>134712.73000000001</v>
      </c>
      <c r="E115" s="222">
        <v>150657.54999999999</v>
      </c>
      <c r="F115" s="222">
        <f t="shared" si="9"/>
        <v>150657.54999999999</v>
      </c>
      <c r="G115" s="222">
        <f t="shared" si="10"/>
        <v>90394.529999999984</v>
      </c>
      <c r="H115" s="222">
        <v>135097.82</v>
      </c>
      <c r="I115" s="222">
        <f t="shared" si="11"/>
        <v>44703.290000000023</v>
      </c>
    </row>
    <row r="116" spans="1:9" x14ac:dyDescent="0.3">
      <c r="A116" s="224">
        <v>54004</v>
      </c>
      <c r="B116" s="223" t="s">
        <v>310</v>
      </c>
      <c r="C116" s="222">
        <v>73105.72</v>
      </c>
      <c r="D116" s="222">
        <v>86284.28</v>
      </c>
      <c r="E116" s="222">
        <v>167944.94</v>
      </c>
      <c r="F116" s="222">
        <f t="shared" si="9"/>
        <v>167944.94</v>
      </c>
      <c r="G116" s="222">
        <f t="shared" si="10"/>
        <v>100766.96399999999</v>
      </c>
      <c r="H116" s="222">
        <v>91193.59</v>
      </c>
      <c r="I116" s="222">
        <f t="shared" si="11"/>
        <v>0</v>
      </c>
    </row>
    <row r="117" spans="1:9" x14ac:dyDescent="0.3">
      <c r="A117" s="224">
        <v>39004</v>
      </c>
      <c r="B117" s="223" t="s">
        <v>311</v>
      </c>
      <c r="C117" s="222">
        <v>48806.22</v>
      </c>
      <c r="D117" s="222">
        <v>45933.919999999998</v>
      </c>
      <c r="E117" s="222">
        <v>48459.259999999995</v>
      </c>
      <c r="F117" s="222">
        <f t="shared" si="9"/>
        <v>48806.22</v>
      </c>
      <c r="G117" s="222">
        <f t="shared" si="10"/>
        <v>29283.732</v>
      </c>
      <c r="H117" s="222">
        <v>49965.67</v>
      </c>
      <c r="I117" s="222">
        <f t="shared" si="11"/>
        <v>20681.937999999998</v>
      </c>
    </row>
    <row r="118" spans="1:9" x14ac:dyDescent="0.3">
      <c r="A118" s="224">
        <v>55005</v>
      </c>
      <c r="B118" s="223" t="s">
        <v>312</v>
      </c>
      <c r="C118" s="222">
        <v>115828.23</v>
      </c>
      <c r="D118" s="222">
        <v>107544.08</v>
      </c>
      <c r="E118" s="222">
        <v>86833.569999999992</v>
      </c>
      <c r="F118" s="222">
        <f t="shared" si="9"/>
        <v>115828.23</v>
      </c>
      <c r="G118" s="222">
        <f t="shared" si="10"/>
        <v>69496.937999999995</v>
      </c>
      <c r="H118" s="222">
        <v>85767.06</v>
      </c>
      <c r="I118" s="222">
        <f t="shared" si="11"/>
        <v>16270.122000000003</v>
      </c>
    </row>
    <row r="119" spans="1:9" x14ac:dyDescent="0.3">
      <c r="A119" s="224">
        <v>4003</v>
      </c>
      <c r="B119" s="223" t="s">
        <v>313</v>
      </c>
      <c r="C119" s="222">
        <v>97780.83</v>
      </c>
      <c r="D119" s="222">
        <v>109519.45</v>
      </c>
      <c r="E119" s="222">
        <v>114890.6</v>
      </c>
      <c r="F119" s="222">
        <f t="shared" si="9"/>
        <v>114890.6</v>
      </c>
      <c r="G119" s="222">
        <f t="shared" si="10"/>
        <v>68934.36</v>
      </c>
      <c r="H119" s="222">
        <v>117150.47</v>
      </c>
      <c r="I119" s="222">
        <f t="shared" si="11"/>
        <v>48216.11</v>
      </c>
    </row>
    <row r="120" spans="1:9" x14ac:dyDescent="0.3">
      <c r="A120" s="224">
        <v>62005</v>
      </c>
      <c r="B120" s="223" t="s">
        <v>371</v>
      </c>
      <c r="C120" s="222">
        <v>205450.49</v>
      </c>
      <c r="D120" s="222">
        <v>204863.5</v>
      </c>
      <c r="E120" s="222">
        <v>201265.25</v>
      </c>
      <c r="F120" s="222">
        <f t="shared" si="9"/>
        <v>205450.49</v>
      </c>
      <c r="G120" s="222">
        <f t="shared" si="10"/>
        <v>123270.29399999999</v>
      </c>
      <c r="H120" s="222">
        <v>211847.94</v>
      </c>
      <c r="I120" s="222">
        <f t="shared" si="11"/>
        <v>88577.646000000008</v>
      </c>
    </row>
    <row r="121" spans="1:9" x14ac:dyDescent="0.3">
      <c r="A121" s="224">
        <v>49005</v>
      </c>
      <c r="B121" s="223" t="s">
        <v>315</v>
      </c>
      <c r="C121" s="222">
        <v>4172799.82</v>
      </c>
      <c r="D121" s="222">
        <v>5317272.96</v>
      </c>
      <c r="E121" s="222">
        <v>5007802.68</v>
      </c>
      <c r="F121" s="222">
        <f t="shared" si="9"/>
        <v>5317272.96</v>
      </c>
      <c r="G121" s="222">
        <f t="shared" si="10"/>
        <v>3190363.7760000001</v>
      </c>
      <c r="H121" s="222">
        <v>5908398.7599999998</v>
      </c>
      <c r="I121" s="222">
        <f t="shared" si="11"/>
        <v>2718034.9839999997</v>
      </c>
    </row>
    <row r="122" spans="1:9" x14ac:dyDescent="0.3">
      <c r="A122" s="224">
        <v>5005</v>
      </c>
      <c r="B122" s="223" t="s">
        <v>316</v>
      </c>
      <c r="C122" s="222">
        <v>273160.44999999995</v>
      </c>
      <c r="D122" s="222">
        <v>230188.93</v>
      </c>
      <c r="E122" s="222">
        <v>229928.63</v>
      </c>
      <c r="F122" s="222">
        <f t="shared" si="9"/>
        <v>273160.44999999995</v>
      </c>
      <c r="G122" s="222">
        <f t="shared" si="10"/>
        <v>163896.26999999996</v>
      </c>
      <c r="H122" s="222">
        <v>206577.63999999998</v>
      </c>
      <c r="I122" s="222">
        <f t="shared" si="11"/>
        <v>42681.370000000024</v>
      </c>
    </row>
    <row r="123" spans="1:9" ht="16.5" customHeight="1" x14ac:dyDescent="0.3">
      <c r="A123" s="224">
        <v>54002</v>
      </c>
      <c r="B123" s="223" t="s">
        <v>317</v>
      </c>
      <c r="C123" s="222">
        <v>744375.27</v>
      </c>
      <c r="D123" s="222">
        <v>731317.23</v>
      </c>
      <c r="E123" s="222">
        <v>775469.28999999992</v>
      </c>
      <c r="F123" s="222">
        <f t="shared" si="9"/>
        <v>775469.28999999992</v>
      </c>
      <c r="G123" s="222">
        <f t="shared" si="10"/>
        <v>465281.57399999996</v>
      </c>
      <c r="H123" s="222">
        <v>678517.53</v>
      </c>
      <c r="I123" s="222">
        <f t="shared" si="11"/>
        <v>213235.95600000006</v>
      </c>
    </row>
    <row r="124" spans="1:9" x14ac:dyDescent="0.3">
      <c r="A124" s="224">
        <v>15003</v>
      </c>
      <c r="B124" s="223" t="s">
        <v>318</v>
      </c>
      <c r="C124" s="222">
        <v>40769.31</v>
      </c>
      <c r="D124" s="222">
        <v>30096.000000000004</v>
      </c>
      <c r="E124" s="222">
        <v>23528.240000000002</v>
      </c>
      <c r="F124" s="222">
        <f t="shared" si="9"/>
        <v>40769.31</v>
      </c>
      <c r="G124" s="222">
        <f t="shared" si="10"/>
        <v>24461.585999999999</v>
      </c>
      <c r="H124" s="222">
        <v>30332.04</v>
      </c>
      <c r="I124" s="222">
        <f t="shared" si="11"/>
        <v>5870.4540000000015</v>
      </c>
    </row>
    <row r="125" spans="1:9" x14ac:dyDescent="0.3">
      <c r="A125" s="224">
        <v>26005</v>
      </c>
      <c r="B125" s="223" t="s">
        <v>319</v>
      </c>
      <c r="C125" s="222">
        <v>89529.32</v>
      </c>
      <c r="D125" s="222">
        <v>75748.489999999991</v>
      </c>
      <c r="E125" s="222">
        <v>59555.06</v>
      </c>
      <c r="F125" s="222">
        <f t="shared" si="9"/>
        <v>89529.32</v>
      </c>
      <c r="G125" s="222">
        <f t="shared" si="10"/>
        <v>53717.592000000004</v>
      </c>
      <c r="H125" s="222">
        <v>60806.819999999992</v>
      </c>
      <c r="I125" s="222">
        <f t="shared" si="11"/>
        <v>7089.2279999999882</v>
      </c>
    </row>
    <row r="126" spans="1:9" x14ac:dyDescent="0.3">
      <c r="A126" s="224">
        <v>40002</v>
      </c>
      <c r="B126" s="223" t="s">
        <v>320</v>
      </c>
      <c r="C126" s="222">
        <v>660266.93000000005</v>
      </c>
      <c r="D126" s="222">
        <v>599497.80000000005</v>
      </c>
      <c r="E126" s="222">
        <v>568313.23</v>
      </c>
      <c r="F126" s="222">
        <f t="shared" si="9"/>
        <v>660266.93000000005</v>
      </c>
      <c r="G126" s="222">
        <f t="shared" si="10"/>
        <v>396160.158</v>
      </c>
      <c r="H126" s="222">
        <v>597537.81999999995</v>
      </c>
      <c r="I126" s="222">
        <f t="shared" si="11"/>
        <v>201377.66199999995</v>
      </c>
    </row>
    <row r="127" spans="1:9" x14ac:dyDescent="0.3">
      <c r="A127" s="224">
        <v>57001</v>
      </c>
      <c r="B127" s="223" t="s">
        <v>321</v>
      </c>
      <c r="C127" s="222">
        <v>194352.7</v>
      </c>
      <c r="D127" s="222">
        <v>283663.53000000003</v>
      </c>
      <c r="E127" s="222">
        <v>176154.94</v>
      </c>
      <c r="F127" s="222">
        <f t="shared" si="9"/>
        <v>283663.53000000003</v>
      </c>
      <c r="G127" s="222">
        <f t="shared" si="10"/>
        <v>170198.11800000002</v>
      </c>
      <c r="H127" s="222">
        <v>147292.58000000002</v>
      </c>
      <c r="I127" s="222">
        <f t="shared" si="11"/>
        <v>0</v>
      </c>
    </row>
    <row r="128" spans="1:9" x14ac:dyDescent="0.3">
      <c r="A128" s="224">
        <v>54006</v>
      </c>
      <c r="B128" s="223" t="s">
        <v>322</v>
      </c>
      <c r="C128" s="222">
        <v>48565.69</v>
      </c>
      <c r="D128" s="222">
        <v>76284.820000000007</v>
      </c>
      <c r="E128" s="222">
        <v>78751.929999999993</v>
      </c>
      <c r="F128" s="222">
        <f t="shared" si="9"/>
        <v>78751.929999999993</v>
      </c>
      <c r="G128" s="222">
        <f t="shared" si="10"/>
        <v>47251.157999999996</v>
      </c>
      <c r="H128" s="222">
        <v>75442.209999999992</v>
      </c>
      <c r="I128" s="222">
        <f t="shared" si="11"/>
        <v>28191.051999999996</v>
      </c>
    </row>
    <row r="129" spans="1:9" x14ac:dyDescent="0.3">
      <c r="A129" s="224">
        <v>41005</v>
      </c>
      <c r="B129" s="223" t="s">
        <v>323</v>
      </c>
      <c r="C129" s="222">
        <v>194517.64</v>
      </c>
      <c r="D129" s="222">
        <v>173598.96</v>
      </c>
      <c r="E129" s="222">
        <v>167673.52000000002</v>
      </c>
      <c r="F129" s="222">
        <f t="shared" si="9"/>
        <v>194517.64</v>
      </c>
      <c r="G129" s="222">
        <f t="shared" si="10"/>
        <v>116710.584</v>
      </c>
      <c r="H129" s="222">
        <v>250820.31</v>
      </c>
      <c r="I129" s="222">
        <f t="shared" si="11"/>
        <v>134109.726</v>
      </c>
    </row>
    <row r="130" spans="1:9" x14ac:dyDescent="0.3">
      <c r="A130" s="224">
        <v>20003</v>
      </c>
      <c r="B130" s="223" t="s">
        <v>324</v>
      </c>
      <c r="C130" s="222">
        <v>89500.79</v>
      </c>
      <c r="D130" s="222">
        <v>90348.510000000009</v>
      </c>
      <c r="E130" s="222">
        <v>80147.06</v>
      </c>
      <c r="F130" s="222">
        <f t="shared" si="9"/>
        <v>90348.510000000009</v>
      </c>
      <c r="G130" s="222">
        <f t="shared" si="10"/>
        <v>54209.106000000007</v>
      </c>
      <c r="H130" s="222">
        <v>57989.24</v>
      </c>
      <c r="I130" s="222">
        <f t="shared" si="11"/>
        <v>3780.1339999999909</v>
      </c>
    </row>
    <row r="131" spans="1:9" x14ac:dyDescent="0.3">
      <c r="A131" s="224">
        <v>66001</v>
      </c>
      <c r="B131" s="223" t="s">
        <v>325</v>
      </c>
      <c r="C131" s="222">
        <v>804171.74</v>
      </c>
      <c r="D131" s="222">
        <v>470080.04</v>
      </c>
      <c r="E131" s="222">
        <v>428258.62000000005</v>
      </c>
      <c r="F131" s="222">
        <f t="shared" si="9"/>
        <v>804171.74</v>
      </c>
      <c r="G131" s="222">
        <f t="shared" si="10"/>
        <v>482503.04399999999</v>
      </c>
      <c r="H131" s="222">
        <v>412518.3</v>
      </c>
      <c r="I131" s="222">
        <f t="shared" si="11"/>
        <v>0</v>
      </c>
    </row>
    <row r="132" spans="1:9" x14ac:dyDescent="0.3">
      <c r="A132" s="224">
        <v>33005</v>
      </c>
      <c r="B132" s="223" t="s">
        <v>326</v>
      </c>
      <c r="C132" s="222">
        <v>154700.34000000003</v>
      </c>
      <c r="D132" s="222">
        <v>156997.89000000001</v>
      </c>
      <c r="E132" s="222">
        <v>105124.42</v>
      </c>
      <c r="F132" s="222">
        <f t="shared" si="9"/>
        <v>156997.89000000001</v>
      </c>
      <c r="G132" s="222">
        <f t="shared" ref="G132:G152" si="12">F132*0.6</f>
        <v>94198.734000000011</v>
      </c>
      <c r="H132" s="222">
        <v>238387.33</v>
      </c>
      <c r="I132" s="222">
        <f t="shared" ref="I132:I152" si="13">IF(H132&gt;G132,H132-G132,0)</f>
        <v>144188.59599999996</v>
      </c>
    </row>
    <row r="133" spans="1:9" x14ac:dyDescent="0.3">
      <c r="A133" s="224">
        <v>49006</v>
      </c>
      <c r="B133" s="223" t="s">
        <v>327</v>
      </c>
      <c r="C133" s="222">
        <v>681325.03</v>
      </c>
      <c r="D133" s="222">
        <v>581607.17000000004</v>
      </c>
      <c r="E133" s="222">
        <v>592417.01</v>
      </c>
      <c r="F133" s="222">
        <f t="shared" si="9"/>
        <v>681325.03</v>
      </c>
      <c r="G133" s="222">
        <f t="shared" si="12"/>
        <v>408795.01799999998</v>
      </c>
      <c r="H133" s="222">
        <v>506562.13</v>
      </c>
      <c r="I133" s="222">
        <f t="shared" si="13"/>
        <v>97767.112000000023</v>
      </c>
    </row>
    <row r="134" spans="1:9" x14ac:dyDescent="0.3">
      <c r="A134" s="224">
        <v>13001</v>
      </c>
      <c r="B134" s="223" t="s">
        <v>328</v>
      </c>
      <c r="C134" s="222">
        <v>484486.75</v>
      </c>
      <c r="D134" s="222">
        <v>423156.08</v>
      </c>
      <c r="E134" s="222">
        <v>437624.47000000003</v>
      </c>
      <c r="F134" s="222">
        <f t="shared" si="9"/>
        <v>484486.75</v>
      </c>
      <c r="G134" s="222">
        <f t="shared" si="12"/>
        <v>290692.05</v>
      </c>
      <c r="H134" s="222">
        <v>442945.95</v>
      </c>
      <c r="I134" s="222">
        <f t="shared" si="13"/>
        <v>152253.90000000002</v>
      </c>
    </row>
    <row r="135" spans="1:9" x14ac:dyDescent="0.3">
      <c r="A135" s="224">
        <v>60006</v>
      </c>
      <c r="B135" s="223" t="s">
        <v>370</v>
      </c>
      <c r="C135" s="222">
        <v>280679.01</v>
      </c>
      <c r="D135" s="222">
        <v>158244.84999999998</v>
      </c>
      <c r="E135" s="222">
        <v>152686.31</v>
      </c>
      <c r="F135" s="222">
        <f t="shared" si="9"/>
        <v>280679.01</v>
      </c>
      <c r="G135" s="222">
        <f t="shared" si="12"/>
        <v>168407.40599999999</v>
      </c>
      <c r="H135" s="222">
        <v>162708.47999999998</v>
      </c>
      <c r="I135" s="222">
        <f t="shared" si="13"/>
        <v>0</v>
      </c>
    </row>
    <row r="136" spans="1:9" x14ac:dyDescent="0.3">
      <c r="A136" s="224">
        <v>11004</v>
      </c>
      <c r="B136" s="223" t="s">
        <v>369</v>
      </c>
      <c r="C136" s="222">
        <v>141688.36000000002</v>
      </c>
      <c r="D136" s="222">
        <v>131975.81</v>
      </c>
      <c r="E136" s="222">
        <v>160724.73000000001</v>
      </c>
      <c r="F136" s="222">
        <f t="shared" si="9"/>
        <v>160724.73000000001</v>
      </c>
      <c r="G136" s="222">
        <f t="shared" si="12"/>
        <v>96434.838000000003</v>
      </c>
      <c r="H136" s="222">
        <v>203163.52000000002</v>
      </c>
      <c r="I136" s="222">
        <f t="shared" si="13"/>
        <v>106728.68200000002</v>
      </c>
    </row>
    <row r="137" spans="1:9" x14ac:dyDescent="0.3">
      <c r="A137" s="224">
        <v>51005</v>
      </c>
      <c r="B137" s="223" t="s">
        <v>331</v>
      </c>
      <c r="C137" s="222">
        <v>245557.29</v>
      </c>
      <c r="D137" s="222">
        <v>180108.86000000002</v>
      </c>
      <c r="E137" s="222">
        <v>196318.89</v>
      </c>
      <c r="F137" s="222">
        <f t="shared" si="9"/>
        <v>245557.29</v>
      </c>
      <c r="G137" s="222">
        <f t="shared" si="12"/>
        <v>147334.37400000001</v>
      </c>
      <c r="H137" s="222">
        <v>166888.69</v>
      </c>
      <c r="I137" s="222">
        <f t="shared" si="13"/>
        <v>19554.315999999992</v>
      </c>
    </row>
    <row r="138" spans="1:9" x14ac:dyDescent="0.3">
      <c r="A138" s="224">
        <v>6005</v>
      </c>
      <c r="B138" s="223" t="s">
        <v>332</v>
      </c>
      <c r="C138" s="222">
        <v>69897.94</v>
      </c>
      <c r="D138" s="222">
        <v>67958.75</v>
      </c>
      <c r="E138" s="222">
        <v>74386.53</v>
      </c>
      <c r="F138" s="222">
        <f t="shared" si="9"/>
        <v>74386.53</v>
      </c>
      <c r="G138" s="222">
        <f t="shared" si="12"/>
        <v>44631.917999999998</v>
      </c>
      <c r="H138" s="222">
        <v>78076.98000000001</v>
      </c>
      <c r="I138" s="222">
        <f t="shared" si="13"/>
        <v>33445.062000000013</v>
      </c>
    </row>
    <row r="139" spans="1:9" x14ac:dyDescent="0.3">
      <c r="A139" s="224">
        <v>14004</v>
      </c>
      <c r="B139" s="223" t="s">
        <v>333</v>
      </c>
      <c r="C139" s="222">
        <v>1282605.18</v>
      </c>
      <c r="D139" s="222">
        <v>1197281.3600000001</v>
      </c>
      <c r="E139" s="222">
        <v>1247800.3500000001</v>
      </c>
      <c r="F139" s="222">
        <f t="shared" si="9"/>
        <v>1282605.18</v>
      </c>
      <c r="G139" s="222">
        <f t="shared" si="12"/>
        <v>769563.10799999989</v>
      </c>
      <c r="H139" s="222">
        <v>1224362.7</v>
      </c>
      <c r="I139" s="222">
        <f t="shared" si="13"/>
        <v>454799.59200000006</v>
      </c>
    </row>
    <row r="140" spans="1:9" x14ac:dyDescent="0.3">
      <c r="A140" s="224">
        <v>18003</v>
      </c>
      <c r="B140" s="223" t="s">
        <v>334</v>
      </c>
      <c r="C140" s="222">
        <v>88185.21</v>
      </c>
      <c r="D140" s="222">
        <v>76351.570000000007</v>
      </c>
      <c r="E140" s="222">
        <v>71796.959999999992</v>
      </c>
      <c r="F140" s="222">
        <f t="shared" si="9"/>
        <v>88185.21</v>
      </c>
      <c r="G140" s="222">
        <f t="shared" si="12"/>
        <v>52911.126000000004</v>
      </c>
      <c r="H140" s="222">
        <v>80811.23</v>
      </c>
      <c r="I140" s="222">
        <f t="shared" si="13"/>
        <v>27900.103999999992</v>
      </c>
    </row>
    <row r="141" spans="1:9" x14ac:dyDescent="0.3">
      <c r="A141" s="224">
        <v>14005</v>
      </c>
      <c r="B141" s="223" t="s">
        <v>335</v>
      </c>
      <c r="C141" s="222">
        <v>121961.73000000001</v>
      </c>
      <c r="D141" s="222">
        <v>119194.70999999999</v>
      </c>
      <c r="E141" s="222">
        <v>135485.69</v>
      </c>
      <c r="F141" s="229">
        <f>MAX(C141:E141)+$F$160</f>
        <v>147056.93210000001</v>
      </c>
      <c r="G141" s="222">
        <f t="shared" si="12"/>
        <v>88234.15926</v>
      </c>
      <c r="H141" s="222">
        <v>105260.64</v>
      </c>
      <c r="I141" s="222">
        <f t="shared" si="13"/>
        <v>17026.480739999999</v>
      </c>
    </row>
    <row r="142" spans="1:9" x14ac:dyDescent="0.3">
      <c r="A142" s="224">
        <v>18005</v>
      </c>
      <c r="B142" s="223" t="s">
        <v>336</v>
      </c>
      <c r="C142" s="222">
        <v>238544.24</v>
      </c>
      <c r="D142" s="222">
        <v>206671.30000000002</v>
      </c>
      <c r="E142" s="222">
        <v>249549.11000000002</v>
      </c>
      <c r="F142" s="222">
        <f t="shared" ref="F142:F152" si="14">MAX(C142:E142)</f>
        <v>249549.11000000002</v>
      </c>
      <c r="G142" s="222">
        <f t="shared" si="12"/>
        <v>149729.46600000001</v>
      </c>
      <c r="H142" s="222">
        <v>244807.98</v>
      </c>
      <c r="I142" s="222">
        <f t="shared" si="13"/>
        <v>95078.513999999996</v>
      </c>
    </row>
    <row r="143" spans="1:9" x14ac:dyDescent="0.3">
      <c r="A143" s="224">
        <v>36002</v>
      </c>
      <c r="B143" s="223" t="s">
        <v>337</v>
      </c>
      <c r="C143" s="222">
        <v>359873.48000000004</v>
      </c>
      <c r="D143" s="222">
        <v>304558.3</v>
      </c>
      <c r="E143" s="222">
        <v>359500.49000000005</v>
      </c>
      <c r="F143" s="222">
        <f t="shared" si="14"/>
        <v>359873.48000000004</v>
      </c>
      <c r="G143" s="222">
        <f t="shared" si="12"/>
        <v>215924.08800000002</v>
      </c>
      <c r="H143" s="222">
        <v>327381.08000000007</v>
      </c>
      <c r="I143" s="222">
        <f t="shared" si="13"/>
        <v>111456.99200000006</v>
      </c>
    </row>
    <row r="144" spans="1:9" x14ac:dyDescent="0.3">
      <c r="A144" s="224">
        <v>49007</v>
      </c>
      <c r="B144" s="223" t="s">
        <v>338</v>
      </c>
      <c r="C144" s="222">
        <v>817654.38000000012</v>
      </c>
      <c r="D144" s="222">
        <v>586342.38</v>
      </c>
      <c r="E144" s="222">
        <v>575191.38</v>
      </c>
      <c r="F144" s="222">
        <f t="shared" si="14"/>
        <v>817654.38000000012</v>
      </c>
      <c r="G144" s="222">
        <f t="shared" si="12"/>
        <v>490592.62800000003</v>
      </c>
      <c r="H144" s="222">
        <v>510249.69999999995</v>
      </c>
      <c r="I144" s="222">
        <f t="shared" si="13"/>
        <v>19657.071999999927</v>
      </c>
    </row>
    <row r="145" spans="1:9" x14ac:dyDescent="0.3">
      <c r="A145" s="224">
        <v>1003</v>
      </c>
      <c r="B145" s="223" t="s">
        <v>339</v>
      </c>
      <c r="C145" s="222">
        <v>274410.23999999999</v>
      </c>
      <c r="D145" s="222">
        <v>217749.08</v>
      </c>
      <c r="E145" s="222">
        <v>222937.25</v>
      </c>
      <c r="F145" s="222">
        <f t="shared" si="14"/>
        <v>274410.23999999999</v>
      </c>
      <c r="G145" s="222">
        <f t="shared" si="12"/>
        <v>164646.144</v>
      </c>
      <c r="H145" s="222">
        <v>212703.00999999998</v>
      </c>
      <c r="I145" s="222">
        <f t="shared" si="13"/>
        <v>48056.86599999998</v>
      </c>
    </row>
    <row r="146" spans="1:9" x14ac:dyDescent="0.3">
      <c r="A146" s="224">
        <v>47001</v>
      </c>
      <c r="B146" s="223" t="s">
        <v>340</v>
      </c>
      <c r="C146" s="222">
        <v>94528.590000000011</v>
      </c>
      <c r="D146" s="222">
        <v>132978.06</v>
      </c>
      <c r="E146" s="222">
        <v>88355.180000000008</v>
      </c>
      <c r="F146" s="222">
        <f t="shared" si="14"/>
        <v>132978.06</v>
      </c>
      <c r="G146" s="222">
        <f t="shared" si="12"/>
        <v>79786.835999999996</v>
      </c>
      <c r="H146" s="222">
        <v>77130.790000000008</v>
      </c>
      <c r="I146" s="222">
        <f t="shared" si="13"/>
        <v>0</v>
      </c>
    </row>
    <row r="147" spans="1:9" x14ac:dyDescent="0.3">
      <c r="A147" s="224">
        <v>12003</v>
      </c>
      <c r="B147" s="223" t="s">
        <v>341</v>
      </c>
      <c r="C147" s="222">
        <v>482990.94</v>
      </c>
      <c r="D147" s="222">
        <v>309231.23</v>
      </c>
      <c r="E147" s="222">
        <v>343068.47000000003</v>
      </c>
      <c r="F147" s="222">
        <f t="shared" si="14"/>
        <v>482990.94</v>
      </c>
      <c r="G147" s="222">
        <f t="shared" si="12"/>
        <v>289794.56400000001</v>
      </c>
      <c r="H147" s="222">
        <v>381604.04000000004</v>
      </c>
      <c r="I147" s="222">
        <f t="shared" si="13"/>
        <v>91809.476000000024</v>
      </c>
    </row>
    <row r="148" spans="1:9" x14ac:dyDescent="0.3">
      <c r="A148" s="224">
        <v>54007</v>
      </c>
      <c r="B148" s="223" t="s">
        <v>342</v>
      </c>
      <c r="C148" s="222">
        <v>128105.22</v>
      </c>
      <c r="D148" s="222">
        <v>118850.47</v>
      </c>
      <c r="E148" s="222">
        <v>126819.02</v>
      </c>
      <c r="F148" s="222">
        <f t="shared" si="14"/>
        <v>128105.22</v>
      </c>
      <c r="G148" s="222">
        <f t="shared" si="12"/>
        <v>76863.131999999998</v>
      </c>
      <c r="H148" s="222">
        <v>112749.89</v>
      </c>
      <c r="I148" s="222">
        <f t="shared" si="13"/>
        <v>35886.758000000002</v>
      </c>
    </row>
    <row r="149" spans="1:9" x14ac:dyDescent="0.3">
      <c r="A149" s="224">
        <v>59002</v>
      </c>
      <c r="B149" s="223" t="s">
        <v>343</v>
      </c>
      <c r="C149" s="222">
        <v>589137.57999999996</v>
      </c>
      <c r="D149" s="222">
        <v>319757.30000000005</v>
      </c>
      <c r="E149" s="222">
        <v>302796.79999999999</v>
      </c>
      <c r="F149" s="222">
        <f t="shared" si="14"/>
        <v>589137.57999999996</v>
      </c>
      <c r="G149" s="222">
        <f t="shared" si="12"/>
        <v>353482.54799999995</v>
      </c>
      <c r="H149" s="222">
        <v>330122.86</v>
      </c>
      <c r="I149" s="222">
        <f t="shared" si="13"/>
        <v>0</v>
      </c>
    </row>
    <row r="150" spans="1:9" x14ac:dyDescent="0.3">
      <c r="A150" s="224">
        <v>2006</v>
      </c>
      <c r="B150" s="223" t="s">
        <v>344</v>
      </c>
      <c r="C150" s="222">
        <v>127180.59999999999</v>
      </c>
      <c r="D150" s="222">
        <v>147867.84</v>
      </c>
      <c r="E150" s="222">
        <v>126976.84</v>
      </c>
      <c r="F150" s="222">
        <f t="shared" si="14"/>
        <v>147867.84</v>
      </c>
      <c r="G150" s="222">
        <f t="shared" si="12"/>
        <v>88720.703999999998</v>
      </c>
      <c r="H150" s="222">
        <v>117325.5</v>
      </c>
      <c r="I150" s="222">
        <f t="shared" si="13"/>
        <v>28604.796000000002</v>
      </c>
    </row>
    <row r="151" spans="1:9" x14ac:dyDescent="0.3">
      <c r="A151" s="224">
        <v>55004</v>
      </c>
      <c r="B151" s="223" t="s">
        <v>345</v>
      </c>
      <c r="C151" s="222">
        <v>101418.98000000001</v>
      </c>
      <c r="D151" s="222">
        <v>75664.12999999999</v>
      </c>
      <c r="E151" s="222">
        <v>82642.45</v>
      </c>
      <c r="F151" s="222">
        <f t="shared" si="14"/>
        <v>101418.98000000001</v>
      </c>
      <c r="G151" s="222">
        <f t="shared" si="12"/>
        <v>60851.388000000006</v>
      </c>
      <c r="H151" s="222">
        <v>77648.590000000011</v>
      </c>
      <c r="I151" s="222">
        <f t="shared" si="13"/>
        <v>16797.202000000005</v>
      </c>
    </row>
    <row r="152" spans="1:9" x14ac:dyDescent="0.3">
      <c r="A152" s="224">
        <v>63003</v>
      </c>
      <c r="B152" s="223" t="s">
        <v>346</v>
      </c>
      <c r="C152" s="222">
        <v>957993.8</v>
      </c>
      <c r="D152" s="222">
        <v>840964.34000000008</v>
      </c>
      <c r="E152" s="222">
        <v>899377.99</v>
      </c>
      <c r="F152" s="222">
        <f t="shared" si="14"/>
        <v>957993.8</v>
      </c>
      <c r="G152" s="222">
        <f t="shared" si="12"/>
        <v>574796.28</v>
      </c>
      <c r="H152" s="222">
        <v>1018308.03</v>
      </c>
      <c r="I152" s="222">
        <f t="shared" si="13"/>
        <v>443511.75</v>
      </c>
    </row>
    <row r="153" spans="1:9" x14ac:dyDescent="0.3">
      <c r="A153" s="228"/>
      <c r="B153" s="227" t="s">
        <v>347</v>
      </c>
      <c r="C153" s="226">
        <f>SUM(C4:C152)</f>
        <v>53029558.199999981</v>
      </c>
      <c r="D153" s="226">
        <f>SUM(D4:D152)</f>
        <v>49142635.990000002</v>
      </c>
      <c r="E153" s="226">
        <f>SUM(E4:E152)</f>
        <v>48923836.430000022</v>
      </c>
      <c r="F153" s="226"/>
      <c r="G153" s="222"/>
      <c r="H153" s="226">
        <f>SUM(H4:H152)</f>
        <v>47100627.989999995</v>
      </c>
      <c r="I153" s="226">
        <f>SUM(I4:I152)</f>
        <v>12670818.330000002</v>
      </c>
    </row>
    <row r="154" spans="1:9" x14ac:dyDescent="0.3">
      <c r="A154" s="225"/>
      <c r="B154" s="225"/>
    </row>
    <row r="156" spans="1:9" x14ac:dyDescent="0.3">
      <c r="A156" s="224">
        <v>25003</v>
      </c>
      <c r="B156" s="223" t="s">
        <v>348</v>
      </c>
      <c r="C156" s="222">
        <v>105193.11</v>
      </c>
      <c r="D156" s="222">
        <v>52550.989999999991</v>
      </c>
      <c r="E156" s="222">
        <v>82432.23</v>
      </c>
      <c r="F156" s="222">
        <f>MAX(C156:E156)</f>
        <v>105193.11</v>
      </c>
      <c r="G156" s="222"/>
      <c r="H156" s="222"/>
      <c r="I156" s="222"/>
    </row>
    <row r="157" spans="1:9" x14ac:dyDescent="0.3">
      <c r="H157" s="221" t="s">
        <v>187</v>
      </c>
    </row>
    <row r="158" spans="1:9" x14ac:dyDescent="0.3">
      <c r="E158" s="220" t="s">
        <v>349</v>
      </c>
      <c r="F158" s="220">
        <f>F156*0.2</f>
        <v>21038.622000000003</v>
      </c>
    </row>
    <row r="159" spans="1:9" x14ac:dyDescent="0.3">
      <c r="E159" s="220" t="s">
        <v>350</v>
      </c>
      <c r="F159" s="220">
        <f>F156*0.69</f>
        <v>72583.245899999994</v>
      </c>
    </row>
    <row r="160" spans="1:9" x14ac:dyDescent="0.3">
      <c r="E160" s="220" t="s">
        <v>351</v>
      </c>
      <c r="F160" s="220">
        <f>F156*0.11</f>
        <v>11571.242099999999</v>
      </c>
    </row>
  </sheetData>
  <pageMargins left="0.2" right="0.2" top="0.5" bottom="0.5" header="0.3" footer="0.3"/>
  <pageSetup scale="75" fitToHeight="0" orientation="portrait" r:id="rId1"/>
  <headerFooter>
    <oddFooter>&amp;C&amp;"Ebrima,Regular"&amp;9&amp;P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3874-B048-4B5D-8A89-87AB151F5589}">
  <sheetPr codeName="Sheet4"/>
  <dimension ref="A1:I160"/>
  <sheetViews>
    <sheetView workbookViewId="0">
      <pane ySplit="3" topLeftCell="A4" activePane="bottomLeft" state="frozen"/>
      <selection pane="bottomLeft" activeCell="I14" sqref="I14"/>
    </sheetView>
  </sheetViews>
  <sheetFormatPr defaultRowHeight="15" x14ac:dyDescent="0.25"/>
  <cols>
    <col min="1" max="1" width="6" customWidth="1"/>
    <col min="2" max="2" width="22.85546875" bestFit="1" customWidth="1"/>
    <col min="3" max="9" width="13.28515625" customWidth="1"/>
  </cols>
  <sheetData>
    <row r="1" spans="1:9" ht="20.25" x14ac:dyDescent="0.4">
      <c r="A1" s="29" t="s">
        <v>352</v>
      </c>
      <c r="B1" s="10"/>
      <c r="C1" s="9"/>
      <c r="D1" s="9"/>
      <c r="E1" s="9"/>
      <c r="F1" s="9"/>
      <c r="G1" s="12"/>
      <c r="H1" s="9"/>
      <c r="I1" s="9"/>
    </row>
    <row r="2" spans="1:9" ht="17.25" x14ac:dyDescent="0.35">
      <c r="A2" s="13"/>
      <c r="B2" s="13" t="s">
        <v>187</v>
      </c>
      <c r="C2" s="9"/>
      <c r="D2" s="9"/>
      <c r="E2" s="9"/>
      <c r="F2" s="14" t="s">
        <v>188</v>
      </c>
      <c r="G2" s="14"/>
      <c r="H2" s="15"/>
      <c r="I2" s="15"/>
    </row>
    <row r="3" spans="1:9" ht="60" x14ac:dyDescent="0.3">
      <c r="A3" s="16" t="s">
        <v>189</v>
      </c>
      <c r="B3" s="16" t="s">
        <v>190</v>
      </c>
      <c r="C3" s="17" t="s">
        <v>191</v>
      </c>
      <c r="D3" s="17" t="s">
        <v>192</v>
      </c>
      <c r="E3" s="17" t="s">
        <v>193</v>
      </c>
      <c r="F3" s="18" t="s">
        <v>194</v>
      </c>
      <c r="G3" s="30" t="s">
        <v>195</v>
      </c>
      <c r="H3" s="31" t="s">
        <v>196</v>
      </c>
      <c r="I3" s="33" t="s">
        <v>197</v>
      </c>
    </row>
    <row r="4" spans="1:9" ht="15.75" x14ac:dyDescent="0.3">
      <c r="A4" s="19">
        <v>6001</v>
      </c>
      <c r="B4" s="20" t="s">
        <v>198</v>
      </c>
      <c r="C4" s="21">
        <v>1721682.35</v>
      </c>
      <c r="D4" s="21">
        <v>1406786.8599999999</v>
      </c>
      <c r="E4" s="21">
        <v>1455023.73</v>
      </c>
      <c r="F4" s="21">
        <v>1721682.35</v>
      </c>
      <c r="G4" s="21">
        <v>1377345.8800000001</v>
      </c>
      <c r="H4" s="21">
        <v>1413412.9100000001</v>
      </c>
      <c r="I4" s="21">
        <v>36067.030000000028</v>
      </c>
    </row>
    <row r="5" spans="1:9" ht="15.75" x14ac:dyDescent="0.3">
      <c r="A5" s="19">
        <v>58003</v>
      </c>
      <c r="B5" s="20" t="s">
        <v>199</v>
      </c>
      <c r="C5" s="21">
        <v>367489.17000000004</v>
      </c>
      <c r="D5" s="21">
        <v>243359.58000000002</v>
      </c>
      <c r="E5" s="21">
        <v>301416.82</v>
      </c>
      <c r="F5" s="21">
        <v>367489.17000000004</v>
      </c>
      <c r="G5" s="21">
        <v>293991.33600000007</v>
      </c>
      <c r="H5" s="21">
        <v>297952.74</v>
      </c>
      <c r="I5" s="21">
        <v>3961.4039999999222</v>
      </c>
    </row>
    <row r="6" spans="1:9" ht="15.75" x14ac:dyDescent="0.3">
      <c r="A6" s="19">
        <v>61001</v>
      </c>
      <c r="B6" s="20" t="s">
        <v>200</v>
      </c>
      <c r="C6" s="21">
        <v>214117.72000000003</v>
      </c>
      <c r="D6" s="21">
        <v>232292.44</v>
      </c>
      <c r="E6" s="21">
        <v>240423.17</v>
      </c>
      <c r="F6" s="21">
        <v>240423.17</v>
      </c>
      <c r="G6" s="21">
        <v>192338.53600000002</v>
      </c>
      <c r="H6" s="21">
        <v>155184.28000000003</v>
      </c>
      <c r="I6" s="21">
        <v>0</v>
      </c>
    </row>
    <row r="7" spans="1:9" ht="15.75" x14ac:dyDescent="0.3">
      <c r="A7" s="19">
        <v>11001</v>
      </c>
      <c r="B7" s="20" t="s">
        <v>201</v>
      </c>
      <c r="C7" s="21">
        <v>153578.08000000002</v>
      </c>
      <c r="D7" s="21">
        <v>84285.540000000008</v>
      </c>
      <c r="E7" s="21">
        <v>98042.92</v>
      </c>
      <c r="F7" s="21">
        <v>153578.08000000002</v>
      </c>
      <c r="G7" s="21">
        <v>122862.46400000002</v>
      </c>
      <c r="H7" s="21">
        <v>112530.81999999999</v>
      </c>
      <c r="I7" s="21">
        <v>0</v>
      </c>
    </row>
    <row r="8" spans="1:9" ht="15.75" x14ac:dyDescent="0.3">
      <c r="A8" s="19">
        <v>38001</v>
      </c>
      <c r="B8" s="20" t="s">
        <v>202</v>
      </c>
      <c r="C8" s="21">
        <v>157847.29999999999</v>
      </c>
      <c r="D8" s="21">
        <v>150887.54</v>
      </c>
      <c r="E8" s="21">
        <v>124191.48000000001</v>
      </c>
      <c r="F8" s="21">
        <v>157847.29999999999</v>
      </c>
      <c r="G8" s="21">
        <v>126277.84</v>
      </c>
      <c r="H8" s="21">
        <v>118063.09</v>
      </c>
      <c r="I8" s="21">
        <v>0</v>
      </c>
    </row>
    <row r="9" spans="1:9" ht="15.75" x14ac:dyDescent="0.3">
      <c r="A9" s="19">
        <v>21001</v>
      </c>
      <c r="B9" s="20" t="s">
        <v>203</v>
      </c>
      <c r="C9" s="21">
        <v>73304.179999999993</v>
      </c>
      <c r="D9" s="21">
        <v>70429.539999999994</v>
      </c>
      <c r="E9" s="21">
        <v>78885.41</v>
      </c>
      <c r="F9" s="21">
        <v>78885.41</v>
      </c>
      <c r="G9" s="21">
        <v>63108.328000000009</v>
      </c>
      <c r="H9" s="21">
        <v>87424.09</v>
      </c>
      <c r="I9" s="21">
        <v>24315.761999999988</v>
      </c>
    </row>
    <row r="10" spans="1:9" ht="15.75" x14ac:dyDescent="0.3">
      <c r="A10" s="19">
        <v>4001</v>
      </c>
      <c r="B10" s="20" t="s">
        <v>204</v>
      </c>
      <c r="C10" s="21">
        <v>64899.78</v>
      </c>
      <c r="D10" s="21">
        <v>105628.35</v>
      </c>
      <c r="E10" s="21">
        <v>80739.78</v>
      </c>
      <c r="F10" s="21">
        <v>105628.35</v>
      </c>
      <c r="G10" s="21">
        <v>84502.680000000008</v>
      </c>
      <c r="H10" s="21">
        <v>71731.819999999992</v>
      </c>
      <c r="I10" s="21">
        <v>0</v>
      </c>
    </row>
    <row r="11" spans="1:9" ht="15.75" x14ac:dyDescent="0.3">
      <c r="A11" s="19">
        <v>49001</v>
      </c>
      <c r="B11" s="20" t="s">
        <v>205</v>
      </c>
      <c r="C11" s="21">
        <v>146195.69</v>
      </c>
      <c r="D11" s="21">
        <v>199363.94</v>
      </c>
      <c r="E11" s="21">
        <v>195620.13999999998</v>
      </c>
      <c r="F11" s="21">
        <v>199363.94</v>
      </c>
      <c r="G11" s="21">
        <v>159491.152</v>
      </c>
      <c r="H11" s="21">
        <v>162176.01</v>
      </c>
      <c r="I11" s="21">
        <v>2684.8580000000075</v>
      </c>
    </row>
    <row r="12" spans="1:9" ht="15.75" x14ac:dyDescent="0.3">
      <c r="A12" s="19">
        <v>9001</v>
      </c>
      <c r="B12" s="20" t="s">
        <v>206</v>
      </c>
      <c r="C12" s="21">
        <v>267909.48</v>
      </c>
      <c r="D12" s="21">
        <v>282499.05</v>
      </c>
      <c r="E12" s="21">
        <v>327439.45</v>
      </c>
      <c r="F12" s="21">
        <v>327439.45</v>
      </c>
      <c r="G12" s="21">
        <v>261951.56000000003</v>
      </c>
      <c r="H12" s="21">
        <v>274715.90999999997</v>
      </c>
      <c r="I12" s="21">
        <v>12764.349999999948</v>
      </c>
    </row>
    <row r="13" spans="1:9" ht="15.75" x14ac:dyDescent="0.3">
      <c r="A13" s="19">
        <v>3001</v>
      </c>
      <c r="B13" s="20" t="s">
        <v>207</v>
      </c>
      <c r="C13" s="21">
        <v>207533.7</v>
      </c>
      <c r="D13" s="21">
        <v>209752.88000000003</v>
      </c>
      <c r="E13" s="21">
        <v>230384.32</v>
      </c>
      <c r="F13" s="21">
        <v>230384.32</v>
      </c>
      <c r="G13" s="21">
        <v>184307.45600000001</v>
      </c>
      <c r="H13" s="21">
        <v>207148.75999999998</v>
      </c>
      <c r="I13" s="21">
        <v>22841.303999999975</v>
      </c>
    </row>
    <row r="14" spans="1:9" ht="15.75" x14ac:dyDescent="0.3">
      <c r="A14" s="19">
        <v>61002</v>
      </c>
      <c r="B14" s="20" t="s">
        <v>208</v>
      </c>
      <c r="C14" s="21">
        <v>209443.65999999997</v>
      </c>
      <c r="D14" s="21">
        <v>192341.08000000002</v>
      </c>
      <c r="E14" s="21">
        <v>199701.80000000002</v>
      </c>
      <c r="F14" s="21">
        <v>209443.65999999997</v>
      </c>
      <c r="G14" s="21">
        <v>167554.92799999999</v>
      </c>
      <c r="H14" s="21">
        <v>169379.80000000002</v>
      </c>
      <c r="I14" s="21">
        <v>1824.8720000000321</v>
      </c>
    </row>
    <row r="15" spans="1:9" ht="15.75" x14ac:dyDescent="0.3">
      <c r="A15" s="19">
        <v>25001</v>
      </c>
      <c r="B15" s="20" t="s">
        <v>209</v>
      </c>
      <c r="C15" s="21">
        <v>36207.39</v>
      </c>
      <c r="D15" s="21">
        <v>26092.43</v>
      </c>
      <c r="E15" s="21">
        <v>31841.29</v>
      </c>
      <c r="F15" s="21">
        <v>36207.39</v>
      </c>
      <c r="G15" s="21">
        <v>28965.912</v>
      </c>
      <c r="H15" s="21">
        <v>35837.599999999999</v>
      </c>
      <c r="I15" s="21">
        <v>6871.6879999999983</v>
      </c>
    </row>
    <row r="16" spans="1:9" ht="15.75" x14ac:dyDescent="0.3">
      <c r="A16" s="19">
        <v>52001</v>
      </c>
      <c r="B16" s="20" t="s">
        <v>210</v>
      </c>
      <c r="C16" s="21">
        <v>121514.08999999998</v>
      </c>
      <c r="D16" s="21">
        <v>91737.84</v>
      </c>
      <c r="E16" s="21">
        <v>138489.27000000002</v>
      </c>
      <c r="F16" s="21">
        <v>138489.27000000002</v>
      </c>
      <c r="G16" s="21">
        <v>110791.41600000003</v>
      </c>
      <c r="H16" s="21">
        <v>129866.41</v>
      </c>
      <c r="I16" s="21">
        <v>19074.993999999977</v>
      </c>
    </row>
    <row r="17" spans="1:9" ht="15.75" x14ac:dyDescent="0.3">
      <c r="A17" s="19">
        <v>4002</v>
      </c>
      <c r="B17" s="20" t="s">
        <v>211</v>
      </c>
      <c r="C17" s="21">
        <v>250989.35</v>
      </c>
      <c r="D17" s="21">
        <v>185913.4</v>
      </c>
      <c r="E17" s="21">
        <v>182127.80000000002</v>
      </c>
      <c r="F17" s="21">
        <v>250989.35</v>
      </c>
      <c r="G17" s="21">
        <v>200791.48</v>
      </c>
      <c r="H17" s="21">
        <v>185779.65</v>
      </c>
      <c r="I17" s="21">
        <v>0</v>
      </c>
    </row>
    <row r="18" spans="1:9" ht="15.75" x14ac:dyDescent="0.3">
      <c r="A18" s="19">
        <v>22001</v>
      </c>
      <c r="B18" s="20" t="s">
        <v>212</v>
      </c>
      <c r="C18" s="21">
        <v>73519.41</v>
      </c>
      <c r="D18" s="21">
        <v>46261.48</v>
      </c>
      <c r="E18" s="21">
        <v>62854.489999999991</v>
      </c>
      <c r="F18" s="21">
        <v>73519.41</v>
      </c>
      <c r="G18" s="21">
        <v>58815.528000000006</v>
      </c>
      <c r="H18" s="21">
        <v>82897.5</v>
      </c>
      <c r="I18" s="21">
        <v>24081.971999999994</v>
      </c>
    </row>
    <row r="19" spans="1:9" ht="15.75" x14ac:dyDescent="0.3">
      <c r="A19" s="19">
        <v>49002</v>
      </c>
      <c r="B19" s="20" t="s">
        <v>213</v>
      </c>
      <c r="C19" s="21">
        <v>1885622</v>
      </c>
      <c r="D19" s="21">
        <v>1311793.27</v>
      </c>
      <c r="E19" s="21">
        <v>1364840.64</v>
      </c>
      <c r="F19" s="21">
        <v>1885622</v>
      </c>
      <c r="G19" s="21">
        <v>1508497.6</v>
      </c>
      <c r="H19" s="21">
        <v>1484384.9100000001</v>
      </c>
      <c r="I19" s="21">
        <v>0</v>
      </c>
    </row>
    <row r="20" spans="1:9" ht="15.75" x14ac:dyDescent="0.3">
      <c r="A20" s="19">
        <v>30003</v>
      </c>
      <c r="B20" s="20" t="s">
        <v>214</v>
      </c>
      <c r="C20" s="21">
        <v>172327.17999999996</v>
      </c>
      <c r="D20" s="21">
        <v>110069.63999999998</v>
      </c>
      <c r="E20" s="21">
        <v>105507.04</v>
      </c>
      <c r="F20" s="21">
        <v>172327.17999999996</v>
      </c>
      <c r="G20" s="21">
        <v>137861.74399999998</v>
      </c>
      <c r="H20" s="21">
        <v>113425.92</v>
      </c>
      <c r="I20" s="21">
        <v>0</v>
      </c>
    </row>
    <row r="21" spans="1:9" ht="15.75" x14ac:dyDescent="0.3">
      <c r="A21" s="19">
        <v>45004</v>
      </c>
      <c r="B21" s="20" t="s">
        <v>215</v>
      </c>
      <c r="C21" s="21">
        <v>340440.27999999997</v>
      </c>
      <c r="D21" s="21">
        <v>278885.68</v>
      </c>
      <c r="E21" s="21">
        <v>324562.76</v>
      </c>
      <c r="F21" s="21">
        <v>340440.27999999997</v>
      </c>
      <c r="G21" s="21">
        <v>272352.22399999999</v>
      </c>
      <c r="H21" s="21">
        <v>307360.95</v>
      </c>
      <c r="I21" s="21">
        <v>35008.726000000024</v>
      </c>
    </row>
    <row r="22" spans="1:9" ht="15.75" x14ac:dyDescent="0.3">
      <c r="A22" s="19">
        <v>5001</v>
      </c>
      <c r="B22" s="20" t="s">
        <v>216</v>
      </c>
      <c r="C22" s="21">
        <v>1377585.45</v>
      </c>
      <c r="D22" s="21">
        <v>953593.04999999993</v>
      </c>
      <c r="E22" s="21">
        <v>952176.94</v>
      </c>
      <c r="F22" s="21">
        <v>1377585.45</v>
      </c>
      <c r="G22" s="21">
        <v>1102068.3600000001</v>
      </c>
      <c r="H22" s="21">
        <v>1072601.58</v>
      </c>
      <c r="I22" s="21">
        <v>0</v>
      </c>
    </row>
    <row r="23" spans="1:9" ht="15.75" x14ac:dyDescent="0.3">
      <c r="A23" s="19">
        <v>26002</v>
      </c>
      <c r="B23" s="20" t="s">
        <v>217</v>
      </c>
      <c r="C23" s="21">
        <v>153893.02000000002</v>
      </c>
      <c r="D23" s="21">
        <v>85754.91</v>
      </c>
      <c r="E23" s="21">
        <v>81374.41</v>
      </c>
      <c r="F23" s="21">
        <v>153893.02000000002</v>
      </c>
      <c r="G23" s="21">
        <v>123114.41600000003</v>
      </c>
      <c r="H23" s="21">
        <v>98952.099999999991</v>
      </c>
      <c r="I23" s="21">
        <v>0</v>
      </c>
    </row>
    <row r="24" spans="1:9" ht="15.75" x14ac:dyDescent="0.3">
      <c r="A24" s="19">
        <v>43001</v>
      </c>
      <c r="B24" s="20" t="s">
        <v>218</v>
      </c>
      <c r="C24" s="21">
        <v>103082.46</v>
      </c>
      <c r="D24" s="21">
        <v>70488.09</v>
      </c>
      <c r="E24" s="21">
        <v>65090.789999999994</v>
      </c>
      <c r="F24" s="21">
        <v>103082.46</v>
      </c>
      <c r="G24" s="21">
        <v>82465.968000000008</v>
      </c>
      <c r="H24" s="21">
        <v>78238.73000000001</v>
      </c>
      <c r="I24" s="21">
        <v>0</v>
      </c>
    </row>
    <row r="25" spans="1:9" ht="15.75" x14ac:dyDescent="0.3">
      <c r="A25" s="19">
        <v>41001</v>
      </c>
      <c r="B25" s="20" t="s">
        <v>219</v>
      </c>
      <c r="C25" s="21">
        <v>443031.13999999996</v>
      </c>
      <c r="D25" s="21">
        <v>301684.27999999997</v>
      </c>
      <c r="E25" s="21">
        <v>272708.68000000005</v>
      </c>
      <c r="F25" s="21">
        <v>443031.13999999996</v>
      </c>
      <c r="G25" s="21">
        <v>354424.91200000001</v>
      </c>
      <c r="H25" s="21">
        <v>223224.58000000002</v>
      </c>
      <c r="I25" s="21">
        <v>0</v>
      </c>
    </row>
    <row r="26" spans="1:9" ht="15.75" x14ac:dyDescent="0.3">
      <c r="A26" s="19">
        <v>28001</v>
      </c>
      <c r="B26" s="20" t="s">
        <v>220</v>
      </c>
      <c r="C26" s="21">
        <v>84865.01</v>
      </c>
      <c r="D26" s="21">
        <v>120788.74</v>
      </c>
      <c r="E26" s="21">
        <v>95571.040000000008</v>
      </c>
      <c r="F26" s="21">
        <v>120788.74</v>
      </c>
      <c r="G26" s="21">
        <v>96630.992000000013</v>
      </c>
      <c r="H26" s="21">
        <v>105097.11</v>
      </c>
      <c r="I26" s="21">
        <v>8466.1179999999877</v>
      </c>
    </row>
    <row r="27" spans="1:9" ht="15.75" x14ac:dyDescent="0.3">
      <c r="A27" s="19">
        <v>60001</v>
      </c>
      <c r="B27" s="20" t="s">
        <v>221</v>
      </c>
      <c r="C27" s="21">
        <v>87636.14</v>
      </c>
      <c r="D27" s="21">
        <v>77204.239999999991</v>
      </c>
      <c r="E27" s="21">
        <v>60553.440000000002</v>
      </c>
      <c r="F27" s="21">
        <v>87636.14</v>
      </c>
      <c r="G27" s="21">
        <v>70108.911999999997</v>
      </c>
      <c r="H27" s="21">
        <v>74570.37000000001</v>
      </c>
      <c r="I27" s="21">
        <v>4461.4580000000133</v>
      </c>
    </row>
    <row r="28" spans="1:9" ht="15.75" x14ac:dyDescent="0.3">
      <c r="A28" s="19">
        <v>7001</v>
      </c>
      <c r="B28" s="20" t="s">
        <v>222</v>
      </c>
      <c r="C28" s="21">
        <v>217424.36</v>
      </c>
      <c r="D28" s="21">
        <v>456857.65</v>
      </c>
      <c r="E28" s="21">
        <v>388412.38</v>
      </c>
      <c r="F28" s="21">
        <v>456857.65</v>
      </c>
      <c r="G28" s="21">
        <v>365486.12000000005</v>
      </c>
      <c r="H28" s="21">
        <v>428399.3</v>
      </c>
      <c r="I28" s="21">
        <v>62913.179999999935</v>
      </c>
    </row>
    <row r="29" spans="1:9" ht="15.75" x14ac:dyDescent="0.3">
      <c r="A29" s="19">
        <v>39001</v>
      </c>
      <c r="B29" s="20" t="s">
        <v>223</v>
      </c>
      <c r="C29" s="21">
        <v>377689.21</v>
      </c>
      <c r="D29" s="21">
        <v>255845.65000000002</v>
      </c>
      <c r="E29" s="21">
        <v>266085.03000000003</v>
      </c>
      <c r="F29" s="21">
        <v>377689.21</v>
      </c>
      <c r="G29" s="21">
        <v>302151.36800000002</v>
      </c>
      <c r="H29" s="21">
        <v>255182.31999999998</v>
      </c>
      <c r="I29" s="21">
        <v>0</v>
      </c>
    </row>
    <row r="30" spans="1:9" ht="15.75" x14ac:dyDescent="0.3">
      <c r="A30" s="19">
        <v>12002</v>
      </c>
      <c r="B30" s="20" t="s">
        <v>224</v>
      </c>
      <c r="C30" s="21">
        <v>286326.61</v>
      </c>
      <c r="D30" s="21">
        <v>214770.24</v>
      </c>
      <c r="E30" s="21">
        <v>234864.96000000002</v>
      </c>
      <c r="F30" s="21">
        <v>286326.61</v>
      </c>
      <c r="G30" s="21">
        <v>229061.288</v>
      </c>
      <c r="H30" s="21">
        <v>258328.65999999997</v>
      </c>
      <c r="I30" s="21">
        <v>29267.371999999974</v>
      </c>
    </row>
    <row r="31" spans="1:9" ht="15.75" x14ac:dyDescent="0.3">
      <c r="A31" s="19">
        <v>50005</v>
      </c>
      <c r="B31" s="20" t="s">
        <v>225</v>
      </c>
      <c r="C31" s="21">
        <v>129273.28</v>
      </c>
      <c r="D31" s="21">
        <v>91802.25</v>
      </c>
      <c r="E31" s="21">
        <v>95902.91</v>
      </c>
      <c r="F31" s="21">
        <v>129273.28</v>
      </c>
      <c r="G31" s="21">
        <v>103418.62400000001</v>
      </c>
      <c r="H31" s="21">
        <v>90949.110000000015</v>
      </c>
      <c r="I31" s="21">
        <v>0</v>
      </c>
    </row>
    <row r="32" spans="1:9" ht="15.75" x14ac:dyDescent="0.3">
      <c r="A32" s="19">
        <v>59003</v>
      </c>
      <c r="B32" s="20" t="s">
        <v>226</v>
      </c>
      <c r="C32" s="21">
        <v>140988.79999999999</v>
      </c>
      <c r="D32" s="21">
        <v>99276.53</v>
      </c>
      <c r="E32" s="21">
        <v>71406.290000000008</v>
      </c>
      <c r="F32" s="21">
        <v>140988.79999999999</v>
      </c>
      <c r="G32" s="21">
        <v>112791.03999999999</v>
      </c>
      <c r="H32" s="21">
        <v>97469.759999999995</v>
      </c>
      <c r="I32" s="21">
        <v>0</v>
      </c>
    </row>
    <row r="33" spans="1:9" ht="15.75" x14ac:dyDescent="0.3">
      <c r="A33" s="19">
        <v>21003</v>
      </c>
      <c r="B33" s="20" t="s">
        <v>227</v>
      </c>
      <c r="C33" s="21">
        <v>203032.28</v>
      </c>
      <c r="D33" s="21">
        <v>154125.30000000002</v>
      </c>
      <c r="E33" s="21">
        <v>172417.58000000002</v>
      </c>
      <c r="F33" s="21">
        <v>203032.28</v>
      </c>
      <c r="G33" s="21">
        <v>162425.82400000002</v>
      </c>
      <c r="H33" s="21">
        <v>170803.93</v>
      </c>
      <c r="I33" s="21">
        <v>8378.1059999999707</v>
      </c>
    </row>
    <row r="34" spans="1:9" ht="15.75" x14ac:dyDescent="0.3">
      <c r="A34" s="19">
        <v>16001</v>
      </c>
      <c r="B34" s="20" t="s">
        <v>228</v>
      </c>
      <c r="C34" s="21">
        <v>586860.45000000007</v>
      </c>
      <c r="D34" s="21">
        <v>480548.74</v>
      </c>
      <c r="E34" s="21">
        <v>493950.84</v>
      </c>
      <c r="F34" s="21">
        <v>586860.45000000007</v>
      </c>
      <c r="G34" s="21">
        <v>469488.3600000001</v>
      </c>
      <c r="H34" s="21">
        <v>402249.20999999996</v>
      </c>
      <c r="I34" s="21">
        <v>0</v>
      </c>
    </row>
    <row r="35" spans="1:9" ht="15.75" x14ac:dyDescent="0.3">
      <c r="A35" s="19">
        <v>61008</v>
      </c>
      <c r="B35" s="20" t="s">
        <v>229</v>
      </c>
      <c r="C35" s="21">
        <v>378343.66000000003</v>
      </c>
      <c r="D35" s="21">
        <v>326265.37</v>
      </c>
      <c r="E35" s="21">
        <v>361386.92</v>
      </c>
      <c r="F35" s="21">
        <v>378343.66000000003</v>
      </c>
      <c r="G35" s="21">
        <v>302674.92800000001</v>
      </c>
      <c r="H35" s="21">
        <v>351344.62</v>
      </c>
      <c r="I35" s="21">
        <v>48669.691999999981</v>
      </c>
    </row>
    <row r="36" spans="1:9" ht="15.75" x14ac:dyDescent="0.3">
      <c r="A36" s="19">
        <v>38002</v>
      </c>
      <c r="B36" s="20" t="s">
        <v>230</v>
      </c>
      <c r="C36" s="21">
        <v>142292.78</v>
      </c>
      <c r="D36" s="21">
        <v>106990.26</v>
      </c>
      <c r="E36" s="21">
        <v>118860.31999999999</v>
      </c>
      <c r="F36" s="21">
        <v>142292.78</v>
      </c>
      <c r="G36" s="21">
        <v>113834.224</v>
      </c>
      <c r="H36" s="21">
        <v>108343.52000000002</v>
      </c>
      <c r="I36" s="21">
        <v>0</v>
      </c>
    </row>
    <row r="37" spans="1:9" ht="15.75" x14ac:dyDescent="0.3">
      <c r="A37" s="19">
        <v>49003</v>
      </c>
      <c r="B37" s="20" t="s">
        <v>231</v>
      </c>
      <c r="C37" s="21">
        <v>427706.11</v>
      </c>
      <c r="D37" s="21">
        <v>437442.68</v>
      </c>
      <c r="E37" s="21">
        <v>437599.94</v>
      </c>
      <c r="F37" s="21">
        <v>437599.94</v>
      </c>
      <c r="G37" s="21">
        <v>350079.95200000005</v>
      </c>
      <c r="H37" s="21">
        <v>360891.27</v>
      </c>
      <c r="I37" s="21">
        <v>10811.31799999997</v>
      </c>
    </row>
    <row r="38" spans="1:9" ht="15.75" x14ac:dyDescent="0.3">
      <c r="A38" s="19">
        <v>5006</v>
      </c>
      <c r="B38" s="20" t="s">
        <v>232</v>
      </c>
      <c r="C38" s="21">
        <v>697580.89</v>
      </c>
      <c r="D38" s="21">
        <v>583574</v>
      </c>
      <c r="E38" s="21">
        <v>592837.16</v>
      </c>
      <c r="F38" s="21">
        <v>697580.89</v>
      </c>
      <c r="G38" s="21">
        <v>558064.71200000006</v>
      </c>
      <c r="H38" s="21">
        <v>609540.07999999996</v>
      </c>
      <c r="I38" s="21">
        <v>51475.3679999999</v>
      </c>
    </row>
    <row r="39" spans="1:9" ht="15.75" x14ac:dyDescent="0.3">
      <c r="A39" s="19">
        <v>19004</v>
      </c>
      <c r="B39" s="20" t="s">
        <v>233</v>
      </c>
      <c r="C39" s="21">
        <v>307946.58999999997</v>
      </c>
      <c r="D39" s="21">
        <v>254050.78999999998</v>
      </c>
      <c r="E39" s="21">
        <v>281602.71000000002</v>
      </c>
      <c r="F39" s="32">
        <v>328985.21199999994</v>
      </c>
      <c r="G39" s="21">
        <v>263188.16959999996</v>
      </c>
      <c r="H39" s="21">
        <v>297938.13</v>
      </c>
      <c r="I39" s="21">
        <v>34749.96040000004</v>
      </c>
    </row>
    <row r="40" spans="1:9" ht="15.75" x14ac:dyDescent="0.3">
      <c r="A40" s="19">
        <v>56002</v>
      </c>
      <c r="B40" s="20" t="s">
        <v>234</v>
      </c>
      <c r="C40" s="21">
        <v>67783.930000000008</v>
      </c>
      <c r="D40" s="21">
        <v>83019.7</v>
      </c>
      <c r="E40" s="21">
        <v>157905.22999999998</v>
      </c>
      <c r="F40" s="21">
        <v>157905.22999999998</v>
      </c>
      <c r="G40" s="21">
        <v>126324.18399999999</v>
      </c>
      <c r="H40" s="21">
        <v>95494.290000000008</v>
      </c>
      <c r="I40" s="21">
        <v>0</v>
      </c>
    </row>
    <row r="41" spans="1:9" ht="15.75" x14ac:dyDescent="0.3">
      <c r="A41" s="19">
        <v>51001</v>
      </c>
      <c r="B41" s="20" t="s">
        <v>235</v>
      </c>
      <c r="C41" s="21">
        <v>515663.59</v>
      </c>
      <c r="D41" s="21">
        <v>492442.89999999997</v>
      </c>
      <c r="E41" s="21">
        <v>512852.7</v>
      </c>
      <c r="F41" s="21">
        <v>515663.59</v>
      </c>
      <c r="G41" s="21">
        <v>412530.87200000003</v>
      </c>
      <c r="H41" s="21">
        <v>414159.14</v>
      </c>
      <c r="I41" s="21">
        <v>1628.2679999999818</v>
      </c>
    </row>
    <row r="42" spans="1:9" ht="15.75" x14ac:dyDescent="0.3">
      <c r="A42" s="19">
        <v>64002</v>
      </c>
      <c r="B42" s="20" t="s">
        <v>236</v>
      </c>
      <c r="C42" s="21">
        <v>118510.51</v>
      </c>
      <c r="D42" s="21">
        <v>509077.22</v>
      </c>
      <c r="E42" s="21">
        <v>191005.33000000002</v>
      </c>
      <c r="F42" s="21">
        <v>509077.22</v>
      </c>
      <c r="G42" s="21">
        <v>407261.77600000001</v>
      </c>
      <c r="H42" s="21">
        <v>245601.51</v>
      </c>
      <c r="I42" s="21">
        <v>0</v>
      </c>
    </row>
    <row r="43" spans="1:9" ht="15.75" x14ac:dyDescent="0.3">
      <c r="A43" s="19">
        <v>20001</v>
      </c>
      <c r="B43" s="20" t="s">
        <v>237</v>
      </c>
      <c r="C43" s="21">
        <v>127778.52</v>
      </c>
      <c r="D43" s="21">
        <v>200861.26</v>
      </c>
      <c r="E43" s="21">
        <v>145612.22999999998</v>
      </c>
      <c r="F43" s="21">
        <v>200861.26</v>
      </c>
      <c r="G43" s="21">
        <v>160689.00800000003</v>
      </c>
      <c r="H43" s="21">
        <v>151670</v>
      </c>
      <c r="I43" s="21">
        <v>0</v>
      </c>
    </row>
    <row r="44" spans="1:9" ht="15.75" x14ac:dyDescent="0.3">
      <c r="A44" s="19">
        <v>23001</v>
      </c>
      <c r="B44" s="20" t="s">
        <v>238</v>
      </c>
      <c r="C44" s="21">
        <v>64642.55</v>
      </c>
      <c r="D44" s="21">
        <v>64151.8</v>
      </c>
      <c r="E44" s="21">
        <v>61812.770000000004</v>
      </c>
      <c r="F44" s="21">
        <v>64642.55</v>
      </c>
      <c r="G44" s="21">
        <v>51714.040000000008</v>
      </c>
      <c r="H44" s="21">
        <v>73107.649999999994</v>
      </c>
      <c r="I44" s="21">
        <v>21393.609999999986</v>
      </c>
    </row>
    <row r="45" spans="1:9" ht="15.75" x14ac:dyDescent="0.3">
      <c r="A45" s="19">
        <v>22005</v>
      </c>
      <c r="B45" s="20" t="s">
        <v>239</v>
      </c>
      <c r="C45" s="21">
        <v>140415.15</v>
      </c>
      <c r="D45" s="21">
        <v>120428.15000000001</v>
      </c>
      <c r="E45" s="21">
        <v>89957.39</v>
      </c>
      <c r="F45" s="21">
        <v>140415.15</v>
      </c>
      <c r="G45" s="21">
        <v>112332.12</v>
      </c>
      <c r="H45" s="21">
        <v>102262.03000000001</v>
      </c>
      <c r="I45" s="21">
        <v>0</v>
      </c>
    </row>
    <row r="46" spans="1:9" ht="15.75" x14ac:dyDescent="0.3">
      <c r="A46" s="19">
        <v>16002</v>
      </c>
      <c r="B46" s="20" t="s">
        <v>240</v>
      </c>
      <c r="C46" s="21">
        <v>10425.159999999998</v>
      </c>
      <c r="D46" s="21">
        <v>7575.42</v>
      </c>
      <c r="E46" s="21">
        <v>14254.949999999999</v>
      </c>
      <c r="F46" s="21">
        <v>14254.949999999999</v>
      </c>
      <c r="G46" s="21">
        <v>11403.96</v>
      </c>
      <c r="H46" s="21">
        <v>6230.12</v>
      </c>
      <c r="I46" s="21">
        <v>0</v>
      </c>
    </row>
    <row r="47" spans="1:9" ht="15.75" x14ac:dyDescent="0.3">
      <c r="A47" s="19">
        <v>61007</v>
      </c>
      <c r="B47" s="20" t="s">
        <v>241</v>
      </c>
      <c r="C47" s="21">
        <v>392834.16000000003</v>
      </c>
      <c r="D47" s="21">
        <v>287653.41000000003</v>
      </c>
      <c r="E47" s="21">
        <v>291523.93</v>
      </c>
      <c r="F47" s="21">
        <v>392834.16000000003</v>
      </c>
      <c r="G47" s="21">
        <v>314267.32800000004</v>
      </c>
      <c r="H47" s="21">
        <v>257232.74000000002</v>
      </c>
      <c r="I47" s="21">
        <v>0</v>
      </c>
    </row>
    <row r="48" spans="1:9" ht="15.75" x14ac:dyDescent="0.3">
      <c r="A48" s="19">
        <v>5003</v>
      </c>
      <c r="B48" s="20" t="s">
        <v>242</v>
      </c>
      <c r="C48" s="21">
        <v>328616.01999999996</v>
      </c>
      <c r="D48" s="21">
        <v>271633.90999999997</v>
      </c>
      <c r="E48" s="21">
        <v>259333.9</v>
      </c>
      <c r="F48" s="21">
        <v>328616.01999999996</v>
      </c>
      <c r="G48" s="21">
        <v>262892.81599999999</v>
      </c>
      <c r="H48" s="21">
        <v>281639.52999999997</v>
      </c>
      <c r="I48" s="21">
        <v>18746.713999999978</v>
      </c>
    </row>
    <row r="49" spans="1:9" ht="15.75" x14ac:dyDescent="0.3">
      <c r="A49" s="19">
        <v>28002</v>
      </c>
      <c r="B49" s="20" t="s">
        <v>243</v>
      </c>
      <c r="C49" s="21">
        <v>111175.39000000001</v>
      </c>
      <c r="D49" s="21">
        <v>117911.86</v>
      </c>
      <c r="E49" s="21">
        <v>117981.03</v>
      </c>
      <c r="F49" s="21">
        <v>117981.03</v>
      </c>
      <c r="G49" s="21">
        <v>94384.824000000008</v>
      </c>
      <c r="H49" s="21">
        <v>129800</v>
      </c>
      <c r="I49" s="21">
        <v>35415.175999999992</v>
      </c>
    </row>
    <row r="50" spans="1:9" ht="15.75" x14ac:dyDescent="0.3">
      <c r="A50" s="19">
        <v>17001</v>
      </c>
      <c r="B50" s="20" t="s">
        <v>244</v>
      </c>
      <c r="C50" s="21">
        <v>63446.64</v>
      </c>
      <c r="D50" s="21">
        <v>94888.98</v>
      </c>
      <c r="E50" s="21">
        <v>63840.17</v>
      </c>
      <c r="F50" s="21">
        <v>94888.98</v>
      </c>
      <c r="G50" s="21">
        <v>75911.183999999994</v>
      </c>
      <c r="H50" s="21">
        <v>57929.38</v>
      </c>
      <c r="I50" s="21">
        <v>0</v>
      </c>
    </row>
    <row r="51" spans="1:9" ht="15.75" x14ac:dyDescent="0.3">
      <c r="A51" s="19">
        <v>44001</v>
      </c>
      <c r="B51" s="20" t="s">
        <v>245</v>
      </c>
      <c r="C51" s="21">
        <v>202679.56000000003</v>
      </c>
      <c r="D51" s="21">
        <v>112302</v>
      </c>
      <c r="E51" s="21">
        <v>107702.29999999999</v>
      </c>
      <c r="F51" s="21">
        <v>202679.56000000003</v>
      </c>
      <c r="G51" s="21">
        <v>162143.64800000004</v>
      </c>
      <c r="H51" s="21">
        <v>116584.36</v>
      </c>
      <c r="I51" s="21">
        <v>0</v>
      </c>
    </row>
    <row r="52" spans="1:9" ht="15.75" x14ac:dyDescent="0.3">
      <c r="A52" s="19">
        <v>46002</v>
      </c>
      <c r="B52" s="20" t="s">
        <v>246</v>
      </c>
      <c r="C52" s="21">
        <v>86525.03</v>
      </c>
      <c r="D52" s="21">
        <v>123784.88</v>
      </c>
      <c r="E52" s="21">
        <v>93156.56</v>
      </c>
      <c r="F52" s="21">
        <v>123784.88</v>
      </c>
      <c r="G52" s="21">
        <v>99027.90400000001</v>
      </c>
      <c r="H52" s="21">
        <v>75959.8</v>
      </c>
      <c r="I52" s="21">
        <v>0</v>
      </c>
    </row>
    <row r="53" spans="1:9" ht="15.75" x14ac:dyDescent="0.3">
      <c r="A53" s="19">
        <v>24004</v>
      </c>
      <c r="B53" s="20" t="s">
        <v>247</v>
      </c>
      <c r="C53" s="21">
        <v>137069.4</v>
      </c>
      <c r="D53" s="21">
        <v>143842.78999999998</v>
      </c>
      <c r="E53" s="21">
        <v>151880.12000000002</v>
      </c>
      <c r="F53" s="21">
        <v>151880.12000000002</v>
      </c>
      <c r="G53" s="21">
        <v>121504.09600000002</v>
      </c>
      <c r="H53" s="21">
        <v>154020.89000000001</v>
      </c>
      <c r="I53" s="21">
        <v>32516.793999999994</v>
      </c>
    </row>
    <row r="54" spans="1:9" ht="15.75" x14ac:dyDescent="0.3">
      <c r="A54" s="19">
        <v>50003</v>
      </c>
      <c r="B54" s="20" t="s">
        <v>248</v>
      </c>
      <c r="C54" s="21">
        <v>279516.77</v>
      </c>
      <c r="D54" s="21">
        <v>208508.38</v>
      </c>
      <c r="E54" s="21">
        <v>219263.22000000003</v>
      </c>
      <c r="F54" s="21">
        <v>279516.77</v>
      </c>
      <c r="G54" s="21">
        <v>223613.41600000003</v>
      </c>
      <c r="H54" s="21">
        <v>210148.16</v>
      </c>
      <c r="I54" s="21">
        <v>0</v>
      </c>
    </row>
    <row r="55" spans="1:9" ht="15.75" x14ac:dyDescent="0.3">
      <c r="A55" s="19">
        <v>14001</v>
      </c>
      <c r="B55" s="20" t="s">
        <v>249</v>
      </c>
      <c r="C55" s="21">
        <v>76524.55</v>
      </c>
      <c r="D55" s="21">
        <v>84666.77</v>
      </c>
      <c r="E55" s="21">
        <v>94642.94</v>
      </c>
      <c r="F55" s="21">
        <v>94642.94</v>
      </c>
      <c r="G55" s="21">
        <v>75714.351999999999</v>
      </c>
      <c r="H55" s="21">
        <v>77441.649999999994</v>
      </c>
      <c r="I55" s="21">
        <v>1727.2979999999952</v>
      </c>
    </row>
    <row r="56" spans="1:9" ht="15.75" x14ac:dyDescent="0.3">
      <c r="A56" s="19">
        <v>6002</v>
      </c>
      <c r="B56" s="20" t="s">
        <v>250</v>
      </c>
      <c r="C56" s="21">
        <v>75903.16</v>
      </c>
      <c r="D56" s="21">
        <v>92988.290000000008</v>
      </c>
      <c r="E56" s="21">
        <v>86616.62</v>
      </c>
      <c r="F56" s="21">
        <v>92988.290000000008</v>
      </c>
      <c r="G56" s="21">
        <v>74390.632000000012</v>
      </c>
      <c r="H56" s="21">
        <v>81719.599999999991</v>
      </c>
      <c r="I56" s="21">
        <v>7328.9679999999789</v>
      </c>
    </row>
    <row r="57" spans="1:9" ht="15.75" x14ac:dyDescent="0.3">
      <c r="A57" s="19">
        <v>33001</v>
      </c>
      <c r="B57" s="20" t="s">
        <v>251</v>
      </c>
      <c r="C57" s="21">
        <v>214732.61000000002</v>
      </c>
      <c r="D57" s="21">
        <v>147990.38</v>
      </c>
      <c r="E57" s="21">
        <v>177746.64</v>
      </c>
      <c r="F57" s="21">
        <v>214732.61000000002</v>
      </c>
      <c r="G57" s="21">
        <v>171786.08800000002</v>
      </c>
      <c r="H57" s="21">
        <v>184186.41</v>
      </c>
      <c r="I57" s="21">
        <v>12400.321999999986</v>
      </c>
    </row>
    <row r="58" spans="1:9" ht="15.75" x14ac:dyDescent="0.3">
      <c r="A58" s="19">
        <v>49004</v>
      </c>
      <c r="B58" s="20" t="s">
        <v>252</v>
      </c>
      <c r="C58" s="21">
        <v>206346.66999999998</v>
      </c>
      <c r="D58" s="21">
        <v>216777.08000000002</v>
      </c>
      <c r="E58" s="21">
        <v>215327.12</v>
      </c>
      <c r="F58" s="21">
        <v>216777.08000000002</v>
      </c>
      <c r="G58" s="21">
        <v>173421.66400000002</v>
      </c>
      <c r="H58" s="21">
        <v>192391.21000000002</v>
      </c>
      <c r="I58" s="21">
        <v>18969.546000000002</v>
      </c>
    </row>
    <row r="59" spans="1:9" ht="15.75" x14ac:dyDescent="0.3">
      <c r="A59" s="19">
        <v>63001</v>
      </c>
      <c r="B59" s="20" t="s">
        <v>253</v>
      </c>
      <c r="C59" s="21">
        <v>111905.22</v>
      </c>
      <c r="D59" s="21">
        <v>90650.57</v>
      </c>
      <c r="E59" s="21">
        <v>80092.22</v>
      </c>
      <c r="F59" s="21">
        <v>111905.22</v>
      </c>
      <c r="G59" s="21">
        <v>89524.176000000007</v>
      </c>
      <c r="H59" s="21">
        <v>78473.02</v>
      </c>
      <c r="I59" s="21">
        <v>0</v>
      </c>
    </row>
    <row r="60" spans="1:9" ht="15.75" x14ac:dyDescent="0.3">
      <c r="A60" s="19">
        <v>53001</v>
      </c>
      <c r="B60" s="20" t="s">
        <v>254</v>
      </c>
      <c r="C60" s="21">
        <v>115257.28</v>
      </c>
      <c r="D60" s="21">
        <v>114194.62</v>
      </c>
      <c r="E60" s="21">
        <v>130946.09000000001</v>
      </c>
      <c r="F60" s="21">
        <v>130946.09000000001</v>
      </c>
      <c r="G60" s="21">
        <v>104756.87200000002</v>
      </c>
      <c r="H60" s="21">
        <v>150780.99</v>
      </c>
      <c r="I60" s="21">
        <v>46024.117999999973</v>
      </c>
    </row>
    <row r="61" spans="1:9" ht="15.75" x14ac:dyDescent="0.3">
      <c r="A61" s="19">
        <v>26004</v>
      </c>
      <c r="B61" s="20" t="s">
        <v>255</v>
      </c>
      <c r="C61" s="21">
        <v>225915.27999999997</v>
      </c>
      <c r="D61" s="21">
        <v>179516.18</v>
      </c>
      <c r="E61" s="21">
        <v>167625.19</v>
      </c>
      <c r="F61" s="21">
        <v>225915.27999999997</v>
      </c>
      <c r="G61" s="21">
        <v>180732.22399999999</v>
      </c>
      <c r="H61" s="21">
        <v>193304.78</v>
      </c>
      <c r="I61" s="21">
        <v>12572.556000000011</v>
      </c>
    </row>
    <row r="62" spans="1:9" ht="15.75" x14ac:dyDescent="0.3">
      <c r="A62" s="19">
        <v>6006</v>
      </c>
      <c r="B62" s="20" t="s">
        <v>256</v>
      </c>
      <c r="C62" s="21">
        <v>723642.38</v>
      </c>
      <c r="D62" s="21">
        <v>851557.45000000007</v>
      </c>
      <c r="E62" s="21">
        <v>886385.27</v>
      </c>
      <c r="F62" s="21">
        <v>886385.27</v>
      </c>
      <c r="G62" s="21">
        <v>709108.21600000001</v>
      </c>
      <c r="H62" s="21">
        <v>849563.39</v>
      </c>
      <c r="I62" s="21">
        <v>140455.174</v>
      </c>
    </row>
    <row r="63" spans="1:9" ht="15.75" x14ac:dyDescent="0.3">
      <c r="A63" s="19">
        <v>27001</v>
      </c>
      <c r="B63" s="20" t="s">
        <v>257</v>
      </c>
      <c r="C63" s="21">
        <v>179815.07</v>
      </c>
      <c r="D63" s="21">
        <v>187563.53999999998</v>
      </c>
      <c r="E63" s="21">
        <v>249682.88</v>
      </c>
      <c r="F63" s="21">
        <v>249682.88</v>
      </c>
      <c r="G63" s="21">
        <v>199746.304</v>
      </c>
      <c r="H63" s="21">
        <v>207533.34999999998</v>
      </c>
      <c r="I63" s="21">
        <v>7787.045999999973</v>
      </c>
    </row>
    <row r="64" spans="1:9" ht="15.75" x14ac:dyDescent="0.3">
      <c r="A64" s="19">
        <v>28003</v>
      </c>
      <c r="B64" s="20" t="s">
        <v>258</v>
      </c>
      <c r="C64" s="21">
        <v>197359.94999999998</v>
      </c>
      <c r="D64" s="21">
        <v>213596.31999999998</v>
      </c>
      <c r="E64" s="21">
        <v>222116.31999999998</v>
      </c>
      <c r="F64" s="21">
        <v>222116.31999999998</v>
      </c>
      <c r="G64" s="21">
        <v>177693.05599999998</v>
      </c>
      <c r="H64" s="21">
        <v>247254.53999999998</v>
      </c>
      <c r="I64" s="21">
        <v>69561.483999999997</v>
      </c>
    </row>
    <row r="65" spans="1:9" ht="15.75" x14ac:dyDescent="0.3">
      <c r="A65" s="19">
        <v>30001</v>
      </c>
      <c r="B65" s="20" t="s">
        <v>259</v>
      </c>
      <c r="C65" s="21">
        <v>121804.24</v>
      </c>
      <c r="D65" s="21">
        <v>121682.29000000001</v>
      </c>
      <c r="E65" s="21">
        <v>88268.4</v>
      </c>
      <c r="F65" s="21">
        <v>121804.24</v>
      </c>
      <c r="G65" s="21">
        <v>97443.392000000007</v>
      </c>
      <c r="H65" s="21">
        <v>129903.81</v>
      </c>
      <c r="I65" s="21">
        <v>32460.417999999991</v>
      </c>
    </row>
    <row r="66" spans="1:9" ht="15.75" x14ac:dyDescent="0.3">
      <c r="A66" s="19">
        <v>31001</v>
      </c>
      <c r="B66" s="20" t="s">
        <v>260</v>
      </c>
      <c r="C66" s="21">
        <v>573926.30000000005</v>
      </c>
      <c r="D66" s="21">
        <v>1142245.54</v>
      </c>
      <c r="E66" s="21">
        <v>625399.24</v>
      </c>
      <c r="F66" s="21">
        <v>1142245.54</v>
      </c>
      <c r="G66" s="21">
        <v>913796.43200000003</v>
      </c>
      <c r="H66" s="21">
        <v>207327.43000000002</v>
      </c>
      <c r="I66" s="21">
        <v>0</v>
      </c>
    </row>
    <row r="67" spans="1:9" ht="15.75" x14ac:dyDescent="0.3">
      <c r="A67" s="19">
        <v>41002</v>
      </c>
      <c r="B67" s="20" t="s">
        <v>261</v>
      </c>
      <c r="C67" s="21">
        <v>1082299.79</v>
      </c>
      <c r="D67" s="21">
        <v>1038500.57</v>
      </c>
      <c r="E67" s="21">
        <v>1062927.3500000001</v>
      </c>
      <c r="F67" s="21">
        <v>1082299.79</v>
      </c>
      <c r="G67" s="21">
        <v>865839.83200000005</v>
      </c>
      <c r="H67" s="21">
        <v>536721.06000000006</v>
      </c>
      <c r="I67" s="21">
        <v>0</v>
      </c>
    </row>
    <row r="68" spans="1:9" ht="15.75" x14ac:dyDescent="0.3">
      <c r="A68" s="19">
        <v>14002</v>
      </c>
      <c r="B68" s="20" t="s">
        <v>262</v>
      </c>
      <c r="C68" s="21">
        <v>47977.54</v>
      </c>
      <c r="D68" s="21">
        <v>40191.18</v>
      </c>
      <c r="E68" s="21">
        <v>54986.26</v>
      </c>
      <c r="F68" s="21">
        <v>54986.26</v>
      </c>
      <c r="G68" s="21">
        <v>43989.008000000002</v>
      </c>
      <c r="H68" s="21">
        <v>47298.12</v>
      </c>
      <c r="I68" s="21">
        <v>3309.112000000001</v>
      </c>
    </row>
    <row r="69" spans="1:9" ht="15.75" x14ac:dyDescent="0.3">
      <c r="A69" s="19">
        <v>10001</v>
      </c>
      <c r="B69" s="20" t="s">
        <v>263</v>
      </c>
      <c r="C69" s="21">
        <v>85091.39</v>
      </c>
      <c r="D69" s="21">
        <v>95702.9</v>
      </c>
      <c r="E69" s="21">
        <v>85387.23</v>
      </c>
      <c r="F69" s="21">
        <v>95702.9</v>
      </c>
      <c r="G69" s="21">
        <v>76562.319999999992</v>
      </c>
      <c r="H69" s="21">
        <v>98469.66</v>
      </c>
      <c r="I69" s="21">
        <v>21907.340000000011</v>
      </c>
    </row>
    <row r="70" spans="1:9" ht="15.75" x14ac:dyDescent="0.3">
      <c r="A70" s="19">
        <v>34002</v>
      </c>
      <c r="B70" s="20" t="s">
        <v>264</v>
      </c>
      <c r="C70" s="21">
        <v>221221</v>
      </c>
      <c r="D70" s="21">
        <v>159451.24</v>
      </c>
      <c r="E70" s="21">
        <v>196813.23</v>
      </c>
      <c r="F70" s="21">
        <v>221221</v>
      </c>
      <c r="G70" s="21">
        <v>176976.80000000002</v>
      </c>
      <c r="H70" s="21">
        <v>198880.50999999998</v>
      </c>
      <c r="I70" s="21">
        <v>21903.709999999963</v>
      </c>
    </row>
    <row r="71" spans="1:9" ht="15.75" x14ac:dyDescent="0.3">
      <c r="A71" s="19">
        <v>51002</v>
      </c>
      <c r="B71" s="20" t="s">
        <v>265</v>
      </c>
      <c r="C71" s="21">
        <v>189665.39</v>
      </c>
      <c r="D71" s="21">
        <v>193268.5</v>
      </c>
      <c r="E71" s="21">
        <v>201216.16999999998</v>
      </c>
      <c r="F71" s="21">
        <v>201216.16999999998</v>
      </c>
      <c r="G71" s="21">
        <v>160972.93599999999</v>
      </c>
      <c r="H71" s="21">
        <v>176301.8</v>
      </c>
      <c r="I71" s="21">
        <v>15328.864000000001</v>
      </c>
    </row>
    <row r="72" spans="1:9" ht="15.75" x14ac:dyDescent="0.3">
      <c r="A72" s="19">
        <v>56006</v>
      </c>
      <c r="B72" s="20" t="s">
        <v>266</v>
      </c>
      <c r="C72" s="21">
        <v>106001.4</v>
      </c>
      <c r="D72" s="21">
        <v>119228.43</v>
      </c>
      <c r="E72" s="21">
        <v>136913.42000000001</v>
      </c>
      <c r="F72" s="21">
        <v>136913.42000000001</v>
      </c>
      <c r="G72" s="21">
        <v>109530.73600000002</v>
      </c>
      <c r="H72" s="21">
        <v>134643.89000000001</v>
      </c>
      <c r="I72" s="21">
        <v>25113.153999999995</v>
      </c>
    </row>
    <row r="73" spans="1:9" ht="15.75" x14ac:dyDescent="0.3">
      <c r="A73" s="19">
        <v>23002</v>
      </c>
      <c r="B73" s="20" t="s">
        <v>267</v>
      </c>
      <c r="C73" s="21">
        <v>347696.63</v>
      </c>
      <c r="D73" s="21">
        <v>538581.78</v>
      </c>
      <c r="E73" s="21">
        <v>327325.52</v>
      </c>
      <c r="F73" s="21">
        <v>538581.78</v>
      </c>
      <c r="G73" s="21">
        <v>430865.42400000006</v>
      </c>
      <c r="H73" s="21">
        <v>432384.78</v>
      </c>
      <c r="I73" s="21">
        <v>1519.3559999999707</v>
      </c>
    </row>
    <row r="74" spans="1:9" ht="15.75" x14ac:dyDescent="0.3">
      <c r="A74" s="19">
        <v>53002</v>
      </c>
      <c r="B74" s="20" t="s">
        <v>268</v>
      </c>
      <c r="C74" s="21">
        <v>149701.13999999998</v>
      </c>
      <c r="D74" s="21">
        <v>88022.53</v>
      </c>
      <c r="E74" s="21">
        <v>137919.45000000001</v>
      </c>
      <c r="F74" s="21">
        <v>149701.13999999998</v>
      </c>
      <c r="G74" s="21">
        <v>119760.912</v>
      </c>
      <c r="H74" s="21">
        <v>139291.39000000001</v>
      </c>
      <c r="I74" s="23">
        <v>0</v>
      </c>
    </row>
    <row r="75" spans="1:9" ht="15.75" x14ac:dyDescent="0.3">
      <c r="A75" s="19">
        <v>48003</v>
      </c>
      <c r="B75" s="20" t="s">
        <v>269</v>
      </c>
      <c r="C75" s="21">
        <v>553484.14999999991</v>
      </c>
      <c r="D75" s="21">
        <v>352755.67000000004</v>
      </c>
      <c r="E75" s="21">
        <v>398277.37</v>
      </c>
      <c r="F75" s="21">
        <v>553484.14999999991</v>
      </c>
      <c r="G75" s="21">
        <v>442787.31999999995</v>
      </c>
      <c r="H75" s="21">
        <v>355604.03</v>
      </c>
      <c r="I75" s="21">
        <v>0</v>
      </c>
    </row>
    <row r="76" spans="1:9" ht="15.75" x14ac:dyDescent="0.3">
      <c r="A76" s="19">
        <v>2002</v>
      </c>
      <c r="B76" s="20" t="s">
        <v>270</v>
      </c>
      <c r="C76" s="21">
        <v>995109.82000000007</v>
      </c>
      <c r="D76" s="21">
        <v>938965.08000000007</v>
      </c>
      <c r="E76" s="21">
        <v>738860.98999999987</v>
      </c>
      <c r="F76" s="21">
        <v>995109.82000000007</v>
      </c>
      <c r="G76" s="21">
        <v>796087.85600000015</v>
      </c>
      <c r="H76" s="21">
        <v>792409.55999999994</v>
      </c>
      <c r="I76" s="21">
        <v>0</v>
      </c>
    </row>
    <row r="77" spans="1:9" ht="15.75" x14ac:dyDescent="0.3">
      <c r="A77" s="19">
        <v>22006</v>
      </c>
      <c r="B77" s="20" t="s">
        <v>271</v>
      </c>
      <c r="C77" s="21">
        <v>747117.36</v>
      </c>
      <c r="D77" s="21">
        <v>447373.63</v>
      </c>
      <c r="E77" s="21">
        <v>450426.98</v>
      </c>
      <c r="F77" s="21">
        <v>747117.36</v>
      </c>
      <c r="G77" s="21">
        <v>597693.88800000004</v>
      </c>
      <c r="H77" s="21">
        <v>477628.45999999996</v>
      </c>
      <c r="I77" s="21">
        <v>0</v>
      </c>
    </row>
    <row r="78" spans="1:9" ht="15.75" x14ac:dyDescent="0.3">
      <c r="A78" s="19">
        <v>13003</v>
      </c>
      <c r="B78" s="20" t="s">
        <v>272</v>
      </c>
      <c r="C78" s="21">
        <v>229649.61000000002</v>
      </c>
      <c r="D78" s="21">
        <v>92185.55</v>
      </c>
      <c r="E78" s="21">
        <v>255995.44</v>
      </c>
      <c r="F78" s="21">
        <v>255995.44</v>
      </c>
      <c r="G78" s="21">
        <v>204796.35200000001</v>
      </c>
      <c r="H78" s="21">
        <v>154487.35999999999</v>
      </c>
      <c r="I78" s="21">
        <v>0</v>
      </c>
    </row>
    <row r="79" spans="1:9" ht="15.75" x14ac:dyDescent="0.3">
      <c r="A79" s="19">
        <v>2003</v>
      </c>
      <c r="B79" s="20" t="s">
        <v>273</v>
      </c>
      <c r="C79" s="21">
        <v>76933.929999999993</v>
      </c>
      <c r="D79" s="21">
        <v>96331.38</v>
      </c>
      <c r="E79" s="21">
        <v>93036.5</v>
      </c>
      <c r="F79" s="21">
        <v>96331.38</v>
      </c>
      <c r="G79" s="21">
        <v>77065.104000000007</v>
      </c>
      <c r="H79" s="21">
        <v>93679.79</v>
      </c>
      <c r="I79" s="21">
        <v>16614.685999999987</v>
      </c>
    </row>
    <row r="80" spans="1:9" ht="15.75" x14ac:dyDescent="0.3">
      <c r="A80" s="19">
        <v>37003</v>
      </c>
      <c r="B80" s="20" t="s">
        <v>274</v>
      </c>
      <c r="C80" s="21">
        <v>132342.99</v>
      </c>
      <c r="D80" s="21">
        <v>125229.16</v>
      </c>
      <c r="E80" s="21">
        <v>185305.68</v>
      </c>
      <c r="F80" s="21">
        <v>185305.68</v>
      </c>
      <c r="G80" s="21">
        <v>148244.54399999999</v>
      </c>
      <c r="H80" s="21">
        <v>151576.95000000001</v>
      </c>
      <c r="I80" s="21">
        <v>3332.4060000000172</v>
      </c>
    </row>
    <row r="81" spans="1:9" ht="15.75" x14ac:dyDescent="0.3">
      <c r="A81" s="19">
        <v>35002</v>
      </c>
      <c r="B81" s="20" t="s">
        <v>275</v>
      </c>
      <c r="C81" s="21">
        <v>313451.18</v>
      </c>
      <c r="D81" s="21">
        <v>234576.85</v>
      </c>
      <c r="E81" s="21">
        <v>210667.25</v>
      </c>
      <c r="F81" s="21">
        <v>313451.18</v>
      </c>
      <c r="G81" s="21">
        <v>250760.94400000002</v>
      </c>
      <c r="H81" s="21">
        <v>222270.57</v>
      </c>
      <c r="I81" s="21">
        <v>0</v>
      </c>
    </row>
    <row r="82" spans="1:9" ht="15.75" x14ac:dyDescent="0.3">
      <c r="A82" s="19">
        <v>7002</v>
      </c>
      <c r="B82" s="20" t="s">
        <v>276</v>
      </c>
      <c r="C82" s="21">
        <v>125580.34</v>
      </c>
      <c r="D82" s="21">
        <v>232659.33</v>
      </c>
      <c r="E82" s="21">
        <v>142175.09999999998</v>
      </c>
      <c r="F82" s="21">
        <v>232659.33</v>
      </c>
      <c r="G82" s="21">
        <v>186127.46400000001</v>
      </c>
      <c r="H82" s="21">
        <v>214184.85</v>
      </c>
      <c r="I82" s="21">
        <v>28057.385999999999</v>
      </c>
    </row>
    <row r="83" spans="1:9" ht="15.75" x14ac:dyDescent="0.3">
      <c r="A83" s="19">
        <v>38003</v>
      </c>
      <c r="B83" s="20" t="s">
        <v>277</v>
      </c>
      <c r="C83" s="21">
        <v>102111.08000000002</v>
      </c>
      <c r="D83" s="21">
        <v>86944.43</v>
      </c>
      <c r="E83" s="21">
        <v>79948.17</v>
      </c>
      <c r="F83" s="21">
        <v>102111.08000000002</v>
      </c>
      <c r="G83" s="21">
        <v>81688.864000000016</v>
      </c>
      <c r="H83" s="21">
        <v>80189.790000000008</v>
      </c>
      <c r="I83" s="21">
        <v>0</v>
      </c>
    </row>
    <row r="84" spans="1:9" ht="15.75" x14ac:dyDescent="0.3">
      <c r="A84" s="19">
        <v>45005</v>
      </c>
      <c r="B84" s="20" t="s">
        <v>278</v>
      </c>
      <c r="C84" s="21">
        <v>120885.93</v>
      </c>
      <c r="D84" s="21">
        <v>136470.04999999999</v>
      </c>
      <c r="E84" s="21">
        <v>122638.28</v>
      </c>
      <c r="F84" s="21">
        <v>136470.04999999999</v>
      </c>
      <c r="G84" s="21">
        <v>109176.04</v>
      </c>
      <c r="H84" s="21">
        <v>111590.35999999999</v>
      </c>
      <c r="I84" s="21">
        <v>2414.3199999999924</v>
      </c>
    </row>
    <row r="85" spans="1:9" ht="15.75" x14ac:dyDescent="0.3">
      <c r="A85" s="19">
        <v>40001</v>
      </c>
      <c r="B85" s="20" t="s">
        <v>279</v>
      </c>
      <c r="C85" s="21">
        <v>349074.72</v>
      </c>
      <c r="D85" s="21">
        <v>307690.25</v>
      </c>
      <c r="E85" s="21">
        <v>332465.62</v>
      </c>
      <c r="F85" s="21">
        <v>349074.72</v>
      </c>
      <c r="G85" s="21">
        <v>279259.77600000001</v>
      </c>
      <c r="H85" s="21">
        <v>277411.59999999998</v>
      </c>
      <c r="I85" s="21">
        <v>0</v>
      </c>
    </row>
    <row r="86" spans="1:9" ht="15.75" x14ac:dyDescent="0.3">
      <c r="A86" s="19">
        <v>52004</v>
      </c>
      <c r="B86" s="20" t="s">
        <v>280</v>
      </c>
      <c r="C86" s="21">
        <v>211722.07999999996</v>
      </c>
      <c r="D86" s="21">
        <v>246975.35999999999</v>
      </c>
      <c r="E86" s="21">
        <v>236260.78</v>
      </c>
      <c r="F86" s="21">
        <v>246975.35999999999</v>
      </c>
      <c r="G86" s="21">
        <v>197580.288</v>
      </c>
      <c r="H86" s="21">
        <v>225945.54000000004</v>
      </c>
      <c r="I86" s="21">
        <v>28365.252000000037</v>
      </c>
    </row>
    <row r="87" spans="1:9" ht="15.75" x14ac:dyDescent="0.3">
      <c r="A87" s="19">
        <v>41004</v>
      </c>
      <c r="B87" s="20" t="s">
        <v>281</v>
      </c>
      <c r="C87" s="21">
        <v>788684.33</v>
      </c>
      <c r="D87" s="21">
        <v>491646.77</v>
      </c>
      <c r="E87" s="21">
        <v>512435.68</v>
      </c>
      <c r="F87" s="21">
        <v>788684.33</v>
      </c>
      <c r="G87" s="21">
        <v>630947.46400000004</v>
      </c>
      <c r="H87" s="21">
        <v>516119.77</v>
      </c>
      <c r="I87" s="21">
        <v>0</v>
      </c>
    </row>
    <row r="88" spans="1:9" ht="15.75" x14ac:dyDescent="0.3">
      <c r="A88" s="19">
        <v>44002</v>
      </c>
      <c r="B88" s="20" t="s">
        <v>282</v>
      </c>
      <c r="C88" s="21">
        <v>309467.24</v>
      </c>
      <c r="D88" s="21">
        <v>323196.90999999992</v>
      </c>
      <c r="E88" s="21">
        <v>237372.48</v>
      </c>
      <c r="F88" s="21">
        <v>323196.90999999992</v>
      </c>
      <c r="G88" s="21">
        <v>258557.52799999993</v>
      </c>
      <c r="H88" s="21">
        <v>274032.89</v>
      </c>
      <c r="I88" s="21">
        <v>15475.362000000081</v>
      </c>
    </row>
    <row r="89" spans="1:9" ht="15.75" x14ac:dyDescent="0.3">
      <c r="A89" s="19">
        <v>42001</v>
      </c>
      <c r="B89" s="20" t="s">
        <v>283</v>
      </c>
      <c r="C89" s="21">
        <v>364969.75</v>
      </c>
      <c r="D89" s="21">
        <v>365978.95</v>
      </c>
      <c r="E89" s="21">
        <v>619678.30000000005</v>
      </c>
      <c r="F89" s="21">
        <v>619678.30000000005</v>
      </c>
      <c r="G89" s="21">
        <v>495742.64000000007</v>
      </c>
      <c r="H89" s="21">
        <v>362902.22000000003</v>
      </c>
      <c r="I89" s="21">
        <v>0</v>
      </c>
    </row>
    <row r="90" spans="1:9" ht="15.75" x14ac:dyDescent="0.3">
      <c r="A90" s="19">
        <v>39002</v>
      </c>
      <c r="B90" s="20" t="s">
        <v>284</v>
      </c>
      <c r="C90" s="21">
        <v>342654.59</v>
      </c>
      <c r="D90" s="21">
        <v>350191.87</v>
      </c>
      <c r="E90" s="21">
        <v>371367.95</v>
      </c>
      <c r="F90" s="21">
        <v>371367.95</v>
      </c>
      <c r="G90" s="21">
        <v>297094.36000000004</v>
      </c>
      <c r="H90" s="21">
        <v>336198.25</v>
      </c>
      <c r="I90" s="21">
        <v>39103.889999999956</v>
      </c>
    </row>
    <row r="91" spans="1:9" ht="15.75" x14ac:dyDescent="0.3">
      <c r="A91" s="19">
        <v>60003</v>
      </c>
      <c r="B91" s="20" t="s">
        <v>285</v>
      </c>
      <c r="C91" s="21">
        <v>511327.95</v>
      </c>
      <c r="D91" s="21">
        <v>289140.68000000005</v>
      </c>
      <c r="E91" s="21">
        <v>292722.36</v>
      </c>
      <c r="F91" s="21">
        <v>511327.95</v>
      </c>
      <c r="G91" s="21">
        <v>409062.36000000004</v>
      </c>
      <c r="H91" s="21">
        <v>324045.73000000004</v>
      </c>
      <c r="I91" s="21">
        <v>0</v>
      </c>
    </row>
    <row r="92" spans="1:9" ht="15.75" x14ac:dyDescent="0.3">
      <c r="A92" s="19">
        <v>43007</v>
      </c>
      <c r="B92" s="20" t="s">
        <v>286</v>
      </c>
      <c r="C92" s="21">
        <v>247655.64</v>
      </c>
      <c r="D92" s="21">
        <v>176217.51</v>
      </c>
      <c r="E92" s="21">
        <v>175942.33000000002</v>
      </c>
      <c r="F92" s="21">
        <v>247655.64</v>
      </c>
      <c r="G92" s="21">
        <v>198124.51200000002</v>
      </c>
      <c r="H92" s="21">
        <v>178392.87999999998</v>
      </c>
      <c r="I92" s="21">
        <v>0</v>
      </c>
    </row>
    <row r="93" spans="1:9" ht="15.75" x14ac:dyDescent="0.3">
      <c r="A93" s="19">
        <v>15001</v>
      </c>
      <c r="B93" s="20" t="s">
        <v>287</v>
      </c>
      <c r="C93" s="21">
        <v>50464.380000000005</v>
      </c>
      <c r="D93" s="21">
        <v>42220.03</v>
      </c>
      <c r="E93" s="21">
        <v>45371.41</v>
      </c>
      <c r="F93" s="21">
        <v>50464.380000000005</v>
      </c>
      <c r="G93" s="21">
        <v>40371.504000000008</v>
      </c>
      <c r="H93" s="21">
        <v>42559.47</v>
      </c>
      <c r="I93" s="21">
        <v>2187.9659999999931</v>
      </c>
    </row>
    <row r="94" spans="1:9" ht="15.75" x14ac:dyDescent="0.3">
      <c r="A94" s="19">
        <v>15002</v>
      </c>
      <c r="B94" s="20" t="s">
        <v>288</v>
      </c>
      <c r="C94" s="21">
        <v>129666.38000000002</v>
      </c>
      <c r="D94" s="21">
        <v>183586</v>
      </c>
      <c r="E94" s="21">
        <v>128058.32999999999</v>
      </c>
      <c r="F94" s="21">
        <v>183586</v>
      </c>
      <c r="G94" s="21">
        <v>146868.80000000002</v>
      </c>
      <c r="H94" s="21">
        <v>121150.53</v>
      </c>
      <c r="I94" s="21">
        <v>0</v>
      </c>
    </row>
    <row r="95" spans="1:9" ht="15.75" x14ac:dyDescent="0.3">
      <c r="A95" s="19">
        <v>46001</v>
      </c>
      <c r="B95" s="20" t="s">
        <v>289</v>
      </c>
      <c r="C95" s="21">
        <v>1124805.72</v>
      </c>
      <c r="D95" s="21">
        <v>1200527.8199999998</v>
      </c>
      <c r="E95" s="21">
        <v>1055844.3199999998</v>
      </c>
      <c r="F95" s="21">
        <v>1200527.8199999998</v>
      </c>
      <c r="G95" s="21">
        <v>960422.25599999994</v>
      </c>
      <c r="H95" s="21">
        <v>723328.21</v>
      </c>
      <c r="I95" s="21">
        <v>0</v>
      </c>
    </row>
    <row r="96" spans="1:9" ht="15.75" x14ac:dyDescent="0.3">
      <c r="A96" s="19">
        <v>33002</v>
      </c>
      <c r="B96" s="20" t="s">
        <v>290</v>
      </c>
      <c r="C96" s="21">
        <v>250117.73</v>
      </c>
      <c r="D96" s="21">
        <v>622458.35</v>
      </c>
      <c r="E96" s="21">
        <v>347458.08999999997</v>
      </c>
      <c r="F96" s="21">
        <v>622458.35</v>
      </c>
      <c r="G96" s="21">
        <v>497966.68</v>
      </c>
      <c r="H96" s="21">
        <v>345135.54000000004</v>
      </c>
      <c r="I96" s="21">
        <v>0</v>
      </c>
    </row>
    <row r="97" spans="1:9" ht="15.75" x14ac:dyDescent="0.3">
      <c r="A97" s="19">
        <v>25004</v>
      </c>
      <c r="B97" s="20" t="s">
        <v>291</v>
      </c>
      <c r="C97" s="21">
        <v>440440.14000000007</v>
      </c>
      <c r="D97" s="21">
        <v>401538.12999999995</v>
      </c>
      <c r="E97" s="21">
        <v>334307.69000000006</v>
      </c>
      <c r="F97" s="22">
        <v>513023.38590000005</v>
      </c>
      <c r="G97" s="21">
        <v>410418.70872000005</v>
      </c>
      <c r="H97" s="21">
        <v>350019.66</v>
      </c>
      <c r="I97" s="21">
        <v>0</v>
      </c>
    </row>
    <row r="98" spans="1:9" ht="15.75" x14ac:dyDescent="0.3">
      <c r="A98" s="19">
        <v>29004</v>
      </c>
      <c r="B98" s="20" t="s">
        <v>292</v>
      </c>
      <c r="C98" s="21">
        <v>373389.05</v>
      </c>
      <c r="D98" s="21">
        <v>218238.66</v>
      </c>
      <c r="E98" s="21">
        <v>263889.01</v>
      </c>
      <c r="F98" s="21">
        <v>373389.05</v>
      </c>
      <c r="G98" s="21">
        <v>298711.24</v>
      </c>
      <c r="H98" s="21">
        <v>270062.01999999996</v>
      </c>
      <c r="I98" s="21">
        <v>0</v>
      </c>
    </row>
    <row r="99" spans="1:9" ht="15.75" x14ac:dyDescent="0.3">
      <c r="A99" s="19">
        <v>17002</v>
      </c>
      <c r="B99" s="20" t="s">
        <v>293</v>
      </c>
      <c r="C99" s="21">
        <v>757213.58000000007</v>
      </c>
      <c r="D99" s="21">
        <v>818476.92999999993</v>
      </c>
      <c r="E99" s="21">
        <v>1355541.22</v>
      </c>
      <c r="F99" s="21">
        <v>1355541.22</v>
      </c>
      <c r="G99" s="21">
        <v>1084432.976</v>
      </c>
      <c r="H99" s="21">
        <v>797719.66</v>
      </c>
      <c r="I99" s="21">
        <v>0</v>
      </c>
    </row>
    <row r="100" spans="1:9" ht="15.75" x14ac:dyDescent="0.3">
      <c r="A100" s="19">
        <v>62006</v>
      </c>
      <c r="B100" s="20" t="s">
        <v>294</v>
      </c>
      <c r="C100" s="21">
        <v>288506.34999999998</v>
      </c>
      <c r="D100" s="21">
        <v>394977.67000000004</v>
      </c>
      <c r="E100" s="21">
        <v>293632.93</v>
      </c>
      <c r="F100" s="21">
        <v>394977.67000000004</v>
      </c>
      <c r="G100" s="21">
        <v>315982.13600000006</v>
      </c>
      <c r="H100" s="21">
        <v>433907.98000000004</v>
      </c>
      <c r="I100" s="21">
        <v>117925.84399999998</v>
      </c>
    </row>
    <row r="101" spans="1:9" ht="15.75" x14ac:dyDescent="0.3">
      <c r="A101" s="19">
        <v>43002</v>
      </c>
      <c r="B101" s="20" t="s">
        <v>295</v>
      </c>
      <c r="C101" s="21">
        <v>88607.65</v>
      </c>
      <c r="D101" s="21">
        <v>90671.51999999999</v>
      </c>
      <c r="E101" s="21">
        <v>90002.75</v>
      </c>
      <c r="F101" s="21">
        <v>90671.51999999999</v>
      </c>
      <c r="G101" s="21">
        <v>72537.216</v>
      </c>
      <c r="H101" s="21">
        <v>93843.069999999992</v>
      </c>
      <c r="I101" s="21">
        <v>21305.853999999992</v>
      </c>
    </row>
    <row r="102" spans="1:9" ht="15.75" x14ac:dyDescent="0.3">
      <c r="A102" s="19">
        <v>17003</v>
      </c>
      <c r="B102" s="20" t="s">
        <v>296</v>
      </c>
      <c r="C102" s="21">
        <v>100106.23999999999</v>
      </c>
      <c r="D102" s="21">
        <v>50561.59</v>
      </c>
      <c r="E102" s="21">
        <v>79470.06</v>
      </c>
      <c r="F102" s="21">
        <v>100106.23999999999</v>
      </c>
      <c r="G102" s="21">
        <v>80084.991999999998</v>
      </c>
      <c r="H102" s="21">
        <v>77650.83</v>
      </c>
      <c r="I102" s="21">
        <v>0</v>
      </c>
    </row>
    <row r="103" spans="1:9" ht="15.75" x14ac:dyDescent="0.3">
      <c r="A103" s="19">
        <v>51003</v>
      </c>
      <c r="B103" s="20" t="s">
        <v>297</v>
      </c>
      <c r="C103" s="21">
        <v>97041.049999999988</v>
      </c>
      <c r="D103" s="21">
        <v>95898.27</v>
      </c>
      <c r="E103" s="21">
        <v>71787.17</v>
      </c>
      <c r="F103" s="21">
        <v>97041.049999999988</v>
      </c>
      <c r="G103" s="21">
        <v>77632.84</v>
      </c>
      <c r="H103" s="21">
        <v>67636.989999999991</v>
      </c>
      <c r="I103" s="21">
        <v>0</v>
      </c>
    </row>
    <row r="104" spans="1:9" ht="15.75" x14ac:dyDescent="0.3">
      <c r="A104" s="19">
        <v>9002</v>
      </c>
      <c r="B104" s="20" t="s">
        <v>298</v>
      </c>
      <c r="C104" s="21">
        <v>195883.69</v>
      </c>
      <c r="D104" s="21">
        <v>198250.52</v>
      </c>
      <c r="E104" s="21">
        <v>206455.84000000003</v>
      </c>
      <c r="F104" s="21">
        <v>206455.84000000003</v>
      </c>
      <c r="G104" s="21">
        <v>165164.67200000002</v>
      </c>
      <c r="H104" s="21">
        <v>179534.23</v>
      </c>
      <c r="I104" s="21">
        <v>14369.55799999999</v>
      </c>
    </row>
    <row r="105" spans="1:9" ht="15.75" x14ac:dyDescent="0.3">
      <c r="A105" s="19">
        <v>56007</v>
      </c>
      <c r="B105" s="20" t="s">
        <v>299</v>
      </c>
      <c r="C105" s="21">
        <v>160382.31</v>
      </c>
      <c r="D105" s="21">
        <v>123220.14</v>
      </c>
      <c r="E105" s="21">
        <v>133567.26</v>
      </c>
      <c r="F105" s="21">
        <v>160382.31</v>
      </c>
      <c r="G105" s="21">
        <v>128305.848</v>
      </c>
      <c r="H105" s="21">
        <v>119418.8</v>
      </c>
      <c r="I105" s="21">
        <v>0</v>
      </c>
    </row>
    <row r="106" spans="1:9" ht="15.75" x14ac:dyDescent="0.3">
      <c r="A106" s="19">
        <v>23003</v>
      </c>
      <c r="B106" s="20" t="s">
        <v>300</v>
      </c>
      <c r="C106" s="21">
        <v>24705.78</v>
      </c>
      <c r="D106" s="21">
        <v>10634.919999999998</v>
      </c>
      <c r="E106" s="21">
        <v>14726.89</v>
      </c>
      <c r="F106" s="21">
        <v>24705.78</v>
      </c>
      <c r="G106" s="21">
        <v>19764.624</v>
      </c>
      <c r="H106" s="21">
        <v>25189.34</v>
      </c>
      <c r="I106" s="21">
        <v>5424.7160000000003</v>
      </c>
    </row>
    <row r="107" spans="1:9" ht="15.75" x14ac:dyDescent="0.3">
      <c r="A107" s="19">
        <v>65001</v>
      </c>
      <c r="B107" s="20" t="s">
        <v>301</v>
      </c>
      <c r="C107" s="21">
        <v>387268.04</v>
      </c>
      <c r="D107" s="21">
        <v>423696.17</v>
      </c>
      <c r="E107" s="21">
        <v>402355.69</v>
      </c>
      <c r="F107" s="21">
        <v>423696.17</v>
      </c>
      <c r="G107" s="21">
        <v>338956.93599999999</v>
      </c>
      <c r="H107" s="21">
        <v>420723.82</v>
      </c>
      <c r="I107" s="21">
        <v>81766.88400000002</v>
      </c>
    </row>
    <row r="108" spans="1:9" ht="15.75" x14ac:dyDescent="0.3">
      <c r="A108" s="19">
        <v>39005</v>
      </c>
      <c r="B108" s="20" t="s">
        <v>302</v>
      </c>
      <c r="C108" s="21">
        <v>116294.22</v>
      </c>
      <c r="D108" s="21">
        <v>75633.260000000009</v>
      </c>
      <c r="E108" s="21">
        <v>79553.14</v>
      </c>
      <c r="F108" s="21">
        <v>116294.22</v>
      </c>
      <c r="G108" s="21">
        <v>93035.376000000004</v>
      </c>
      <c r="H108" s="21">
        <v>71700.740000000005</v>
      </c>
      <c r="I108" s="21">
        <v>0</v>
      </c>
    </row>
    <row r="109" spans="1:9" ht="15.75" x14ac:dyDescent="0.3">
      <c r="A109" s="19">
        <v>60004</v>
      </c>
      <c r="B109" s="20" t="s">
        <v>303</v>
      </c>
      <c r="C109" s="21">
        <v>131981.62</v>
      </c>
      <c r="D109" s="21">
        <v>111275.04</v>
      </c>
      <c r="E109" s="21">
        <v>94373.41</v>
      </c>
      <c r="F109" s="21">
        <v>131981.62</v>
      </c>
      <c r="G109" s="21">
        <v>105585.296</v>
      </c>
      <c r="H109" s="21">
        <v>95162.23</v>
      </c>
      <c r="I109" s="21">
        <v>0</v>
      </c>
    </row>
    <row r="110" spans="1:9" ht="15.75" x14ac:dyDescent="0.3">
      <c r="A110" s="19">
        <v>33003</v>
      </c>
      <c r="B110" s="20" t="s">
        <v>304</v>
      </c>
      <c r="C110" s="21">
        <v>197100.24</v>
      </c>
      <c r="D110" s="21">
        <v>205405.46000000002</v>
      </c>
      <c r="E110" s="21">
        <v>199051.63</v>
      </c>
      <c r="F110" s="21">
        <v>205405.46000000002</v>
      </c>
      <c r="G110" s="21">
        <v>164324.36800000002</v>
      </c>
      <c r="H110" s="21">
        <v>183921.56</v>
      </c>
      <c r="I110" s="21">
        <v>19597.191999999981</v>
      </c>
    </row>
    <row r="111" spans="1:9" ht="15.75" x14ac:dyDescent="0.3">
      <c r="A111" s="19">
        <v>32002</v>
      </c>
      <c r="B111" s="20" t="s">
        <v>305</v>
      </c>
      <c r="C111" s="21">
        <v>1140056.1599999999</v>
      </c>
      <c r="D111" s="21">
        <v>1072904.83</v>
      </c>
      <c r="E111" s="21">
        <v>1287373.52</v>
      </c>
      <c r="F111" s="21">
        <v>1287373.52</v>
      </c>
      <c r="G111" s="21">
        <v>1029898.8160000001</v>
      </c>
      <c r="H111" s="21">
        <v>1116756.93</v>
      </c>
      <c r="I111" s="21">
        <v>86858.113999999827</v>
      </c>
    </row>
    <row r="112" spans="1:9" ht="15.75" x14ac:dyDescent="0.3">
      <c r="A112" s="19">
        <v>1001</v>
      </c>
      <c r="B112" s="20" t="s">
        <v>306</v>
      </c>
      <c r="C112" s="21">
        <v>247178.73000000004</v>
      </c>
      <c r="D112" s="21">
        <v>166391.15000000002</v>
      </c>
      <c r="E112" s="21">
        <v>151746.99000000002</v>
      </c>
      <c r="F112" s="21">
        <v>247178.73000000004</v>
      </c>
      <c r="G112" s="21">
        <v>197742.98400000005</v>
      </c>
      <c r="H112" s="21">
        <v>148407.79999999999</v>
      </c>
      <c r="I112" s="21">
        <v>0</v>
      </c>
    </row>
    <row r="113" spans="1:9" ht="15.75" x14ac:dyDescent="0.3">
      <c r="A113" s="19">
        <v>11005</v>
      </c>
      <c r="B113" s="20" t="s">
        <v>307</v>
      </c>
      <c r="C113" s="21">
        <v>378496.87000000005</v>
      </c>
      <c r="D113" s="21">
        <v>268969.32</v>
      </c>
      <c r="E113" s="21">
        <v>269938.24</v>
      </c>
      <c r="F113" s="21">
        <v>378496.87000000005</v>
      </c>
      <c r="G113" s="21">
        <v>302797.49600000004</v>
      </c>
      <c r="H113" s="21">
        <v>275046.78999999998</v>
      </c>
      <c r="I113" s="21">
        <v>0</v>
      </c>
    </row>
    <row r="114" spans="1:9" ht="15.75" x14ac:dyDescent="0.3">
      <c r="A114" s="19">
        <v>51004</v>
      </c>
      <c r="B114" s="20" t="s">
        <v>308</v>
      </c>
      <c r="C114" s="21">
        <v>3800173.59</v>
      </c>
      <c r="D114" s="21">
        <v>3098201.9400000004</v>
      </c>
      <c r="E114" s="21">
        <v>3355224.83</v>
      </c>
      <c r="F114" s="21">
        <v>3800173.59</v>
      </c>
      <c r="G114" s="21">
        <v>3040138.872</v>
      </c>
      <c r="H114" s="21">
        <v>2768323.45</v>
      </c>
      <c r="I114" s="21">
        <v>0</v>
      </c>
    </row>
    <row r="115" spans="1:9" ht="15.75" x14ac:dyDescent="0.3">
      <c r="A115" s="19">
        <v>56004</v>
      </c>
      <c r="B115" s="20" t="s">
        <v>309</v>
      </c>
      <c r="C115" s="21">
        <v>141501.53</v>
      </c>
      <c r="D115" s="21">
        <v>134712.73000000001</v>
      </c>
      <c r="E115" s="21">
        <v>150657.54999999999</v>
      </c>
      <c r="F115" s="21">
        <v>150657.54999999999</v>
      </c>
      <c r="G115" s="21">
        <v>120526.04</v>
      </c>
      <c r="H115" s="21">
        <v>155698.98000000001</v>
      </c>
      <c r="I115" s="21">
        <v>35172.940000000017</v>
      </c>
    </row>
    <row r="116" spans="1:9" ht="15.75" x14ac:dyDescent="0.3">
      <c r="A116" s="19">
        <v>54004</v>
      </c>
      <c r="B116" s="20" t="s">
        <v>310</v>
      </c>
      <c r="C116" s="21">
        <v>73105.72</v>
      </c>
      <c r="D116" s="21">
        <v>86284.28</v>
      </c>
      <c r="E116" s="21">
        <v>167944.94</v>
      </c>
      <c r="F116" s="21">
        <v>167944.94</v>
      </c>
      <c r="G116" s="21">
        <v>134355.95200000002</v>
      </c>
      <c r="H116" s="21">
        <v>92656</v>
      </c>
      <c r="I116" s="21">
        <v>0</v>
      </c>
    </row>
    <row r="117" spans="1:9" ht="15.75" x14ac:dyDescent="0.3">
      <c r="A117" s="19">
        <v>39004</v>
      </c>
      <c r="B117" s="20" t="s">
        <v>311</v>
      </c>
      <c r="C117" s="21">
        <v>48806.22</v>
      </c>
      <c r="D117" s="21">
        <v>45933.919999999998</v>
      </c>
      <c r="E117" s="21">
        <v>48459.259999999995</v>
      </c>
      <c r="F117" s="21">
        <v>48806.22</v>
      </c>
      <c r="G117" s="21">
        <v>39044.976000000002</v>
      </c>
      <c r="H117" s="21">
        <v>36442.53</v>
      </c>
      <c r="I117" s="21">
        <v>0</v>
      </c>
    </row>
    <row r="118" spans="1:9" ht="15.75" x14ac:dyDescent="0.3">
      <c r="A118" s="19">
        <v>55005</v>
      </c>
      <c r="B118" s="20" t="s">
        <v>312</v>
      </c>
      <c r="C118" s="21">
        <v>115828.23</v>
      </c>
      <c r="D118" s="21">
        <v>107544.08</v>
      </c>
      <c r="E118" s="21">
        <v>86833.569999999992</v>
      </c>
      <c r="F118" s="21">
        <v>115828.23</v>
      </c>
      <c r="G118" s="21">
        <v>92662.584000000003</v>
      </c>
      <c r="H118" s="21">
        <v>88866</v>
      </c>
      <c r="I118" s="21">
        <v>0</v>
      </c>
    </row>
    <row r="119" spans="1:9" ht="15.75" x14ac:dyDescent="0.3">
      <c r="A119" s="19">
        <v>4003</v>
      </c>
      <c r="B119" s="20" t="s">
        <v>313</v>
      </c>
      <c r="C119" s="21">
        <v>97780.83</v>
      </c>
      <c r="D119" s="21">
        <v>109519.45</v>
      </c>
      <c r="E119" s="21">
        <v>114890.6</v>
      </c>
      <c r="F119" s="21">
        <v>114890.6</v>
      </c>
      <c r="G119" s="21">
        <v>91912.48000000001</v>
      </c>
      <c r="H119" s="21">
        <v>108645.92</v>
      </c>
      <c r="I119" s="21">
        <v>16733.439999999988</v>
      </c>
    </row>
    <row r="120" spans="1:9" ht="15.75" x14ac:dyDescent="0.3">
      <c r="A120" s="19">
        <v>62005</v>
      </c>
      <c r="B120" s="20" t="s">
        <v>314</v>
      </c>
      <c r="C120" s="21">
        <v>205450.49</v>
      </c>
      <c r="D120" s="21">
        <v>204863.5</v>
      </c>
      <c r="E120" s="21">
        <v>201265.25</v>
      </c>
      <c r="F120" s="21">
        <v>205450.49</v>
      </c>
      <c r="G120" s="21">
        <v>164360.39199999999</v>
      </c>
      <c r="H120" s="21">
        <v>204635.19</v>
      </c>
      <c r="I120" s="21">
        <v>40274.79800000001</v>
      </c>
    </row>
    <row r="121" spans="1:9" ht="15.75" x14ac:dyDescent="0.3">
      <c r="A121" s="19">
        <v>49005</v>
      </c>
      <c r="B121" s="20" t="s">
        <v>315</v>
      </c>
      <c r="C121" s="21">
        <v>4172799.82</v>
      </c>
      <c r="D121" s="21">
        <v>5317272.96</v>
      </c>
      <c r="E121" s="21">
        <v>5007802.68</v>
      </c>
      <c r="F121" s="21">
        <v>5317272.96</v>
      </c>
      <c r="G121" s="21">
        <v>4253818.3679999998</v>
      </c>
      <c r="H121" s="21">
        <v>5861278.3300000001</v>
      </c>
      <c r="I121" s="21">
        <v>1607459.9620000003</v>
      </c>
    </row>
    <row r="122" spans="1:9" ht="15.75" x14ac:dyDescent="0.3">
      <c r="A122" s="19">
        <v>5005</v>
      </c>
      <c r="B122" s="20" t="s">
        <v>316</v>
      </c>
      <c r="C122" s="21">
        <v>273160.44999999995</v>
      </c>
      <c r="D122" s="21">
        <v>230188.93</v>
      </c>
      <c r="E122" s="21">
        <v>229928.63</v>
      </c>
      <c r="F122" s="21">
        <v>273160.44999999995</v>
      </c>
      <c r="G122" s="21">
        <v>218528.36</v>
      </c>
      <c r="H122" s="21">
        <v>226902.65999999997</v>
      </c>
      <c r="I122" s="21">
        <v>8374.2999999999884</v>
      </c>
    </row>
    <row r="123" spans="1:9" ht="15.75" x14ac:dyDescent="0.3">
      <c r="A123" s="19">
        <v>54002</v>
      </c>
      <c r="B123" s="20" t="s">
        <v>317</v>
      </c>
      <c r="C123" s="21">
        <v>744375.27</v>
      </c>
      <c r="D123" s="21">
        <v>731317.23</v>
      </c>
      <c r="E123" s="21">
        <v>775469.28999999992</v>
      </c>
      <c r="F123" s="21">
        <v>775469.28999999992</v>
      </c>
      <c r="G123" s="21">
        <v>620375.43199999991</v>
      </c>
      <c r="H123" s="21">
        <v>733826.93</v>
      </c>
      <c r="I123" s="21">
        <v>113451.49800000014</v>
      </c>
    </row>
    <row r="124" spans="1:9" ht="15.75" x14ac:dyDescent="0.3">
      <c r="A124" s="19">
        <v>15003</v>
      </c>
      <c r="B124" s="20" t="s">
        <v>318</v>
      </c>
      <c r="C124" s="21">
        <v>40769.31</v>
      </c>
      <c r="D124" s="21">
        <v>30096.000000000004</v>
      </c>
      <c r="E124" s="21">
        <v>23528.240000000002</v>
      </c>
      <c r="F124" s="21">
        <v>40769.31</v>
      </c>
      <c r="G124" s="21">
        <v>32615.448</v>
      </c>
      <c r="H124" s="21">
        <v>30541.97</v>
      </c>
      <c r="I124" s="21">
        <v>0</v>
      </c>
    </row>
    <row r="125" spans="1:9" ht="15.75" x14ac:dyDescent="0.3">
      <c r="A125" s="19">
        <v>26005</v>
      </c>
      <c r="B125" s="20" t="s">
        <v>319</v>
      </c>
      <c r="C125" s="21">
        <v>89529.32</v>
      </c>
      <c r="D125" s="21">
        <v>75748.489999999991</v>
      </c>
      <c r="E125" s="21">
        <v>59555.06</v>
      </c>
      <c r="F125" s="21">
        <v>89529.32</v>
      </c>
      <c r="G125" s="21">
        <v>71623.456000000006</v>
      </c>
      <c r="H125" s="21">
        <v>63397</v>
      </c>
      <c r="I125" s="21">
        <v>0</v>
      </c>
    </row>
    <row r="126" spans="1:9" ht="15.75" x14ac:dyDescent="0.3">
      <c r="A126" s="19">
        <v>40002</v>
      </c>
      <c r="B126" s="20" t="s">
        <v>320</v>
      </c>
      <c r="C126" s="21">
        <v>660266.93000000005</v>
      </c>
      <c r="D126" s="21">
        <v>599497.80000000005</v>
      </c>
      <c r="E126" s="21">
        <v>568313.23</v>
      </c>
      <c r="F126" s="21">
        <v>660266.93000000005</v>
      </c>
      <c r="G126" s="21">
        <v>528213.54400000011</v>
      </c>
      <c r="H126" s="21">
        <v>581263</v>
      </c>
      <c r="I126" s="21">
        <v>53049.455999999889</v>
      </c>
    </row>
    <row r="127" spans="1:9" ht="15.75" x14ac:dyDescent="0.3">
      <c r="A127" s="19">
        <v>57001</v>
      </c>
      <c r="B127" s="20" t="s">
        <v>321</v>
      </c>
      <c r="C127" s="21">
        <v>194352.7</v>
      </c>
      <c r="D127" s="21">
        <v>283663.53000000003</v>
      </c>
      <c r="E127" s="21">
        <v>176154.94</v>
      </c>
      <c r="F127" s="21">
        <v>283663.53000000003</v>
      </c>
      <c r="G127" s="21">
        <v>226930.82400000002</v>
      </c>
      <c r="H127" s="21">
        <v>149938.78999999998</v>
      </c>
      <c r="I127" s="21">
        <v>0</v>
      </c>
    </row>
    <row r="128" spans="1:9" ht="15.75" x14ac:dyDescent="0.3">
      <c r="A128" s="19">
        <v>54006</v>
      </c>
      <c r="B128" s="20" t="s">
        <v>322</v>
      </c>
      <c r="C128" s="21">
        <v>48565.69</v>
      </c>
      <c r="D128" s="21">
        <v>76284.820000000007</v>
      </c>
      <c r="E128" s="21">
        <v>78751.929999999993</v>
      </c>
      <c r="F128" s="21">
        <v>78751.929999999993</v>
      </c>
      <c r="G128" s="21">
        <v>63001.543999999994</v>
      </c>
      <c r="H128" s="21">
        <v>68525.599999999991</v>
      </c>
      <c r="I128" s="21">
        <v>5524.0559999999969</v>
      </c>
    </row>
    <row r="129" spans="1:9" ht="15.75" x14ac:dyDescent="0.3">
      <c r="A129" s="19">
        <v>41005</v>
      </c>
      <c r="B129" s="20" t="s">
        <v>323</v>
      </c>
      <c r="C129" s="21">
        <v>194517.64</v>
      </c>
      <c r="D129" s="21">
        <v>173598.96</v>
      </c>
      <c r="E129" s="21">
        <v>167673.52000000002</v>
      </c>
      <c r="F129" s="21">
        <v>194517.64</v>
      </c>
      <c r="G129" s="21">
        <v>155614.11200000002</v>
      </c>
      <c r="H129" s="21">
        <v>214760.33000000002</v>
      </c>
      <c r="I129" s="21">
        <v>59146.217999999993</v>
      </c>
    </row>
    <row r="130" spans="1:9" ht="15.75" x14ac:dyDescent="0.3">
      <c r="A130" s="19">
        <v>20003</v>
      </c>
      <c r="B130" s="20" t="s">
        <v>324</v>
      </c>
      <c r="C130" s="21">
        <v>89500.79</v>
      </c>
      <c r="D130" s="21">
        <v>90348.510000000009</v>
      </c>
      <c r="E130" s="21">
        <v>80147.06</v>
      </c>
      <c r="F130" s="21">
        <v>90348.510000000009</v>
      </c>
      <c r="G130" s="21">
        <v>72278.808000000005</v>
      </c>
      <c r="H130" s="21">
        <v>70964.25</v>
      </c>
      <c r="I130" s="21">
        <v>0</v>
      </c>
    </row>
    <row r="131" spans="1:9" ht="15.75" x14ac:dyDescent="0.3">
      <c r="A131" s="19">
        <v>66001</v>
      </c>
      <c r="B131" s="20" t="s">
        <v>325</v>
      </c>
      <c r="C131" s="21">
        <v>804171.74</v>
      </c>
      <c r="D131" s="21">
        <v>470080.04</v>
      </c>
      <c r="E131" s="21">
        <v>428258.62000000005</v>
      </c>
      <c r="F131" s="21">
        <v>804171.74</v>
      </c>
      <c r="G131" s="21">
        <v>643337.39199999999</v>
      </c>
      <c r="H131" s="21">
        <v>411153.36</v>
      </c>
      <c r="I131" s="21">
        <v>0</v>
      </c>
    </row>
    <row r="132" spans="1:9" ht="15.75" x14ac:dyDescent="0.3">
      <c r="A132" s="19">
        <v>33005</v>
      </c>
      <c r="B132" s="20" t="s">
        <v>326</v>
      </c>
      <c r="C132" s="21">
        <v>154700.34000000003</v>
      </c>
      <c r="D132" s="21">
        <v>156997.89000000001</v>
      </c>
      <c r="E132" s="21">
        <v>105124.42</v>
      </c>
      <c r="F132" s="21">
        <v>156997.89000000001</v>
      </c>
      <c r="G132" s="21">
        <v>125598.31200000002</v>
      </c>
      <c r="H132" s="21">
        <v>238866.17</v>
      </c>
      <c r="I132" s="21">
        <v>113267.85799999999</v>
      </c>
    </row>
    <row r="133" spans="1:9" ht="15.75" x14ac:dyDescent="0.3">
      <c r="A133" s="19">
        <v>49006</v>
      </c>
      <c r="B133" s="20" t="s">
        <v>327</v>
      </c>
      <c r="C133" s="21">
        <v>681325.03</v>
      </c>
      <c r="D133" s="21">
        <v>581607.17000000004</v>
      </c>
      <c r="E133" s="21">
        <v>592417.01</v>
      </c>
      <c r="F133" s="21">
        <v>681325.03</v>
      </c>
      <c r="G133" s="21">
        <v>545060.02400000009</v>
      </c>
      <c r="H133" s="21">
        <v>507688.23</v>
      </c>
      <c r="I133" s="21">
        <v>0</v>
      </c>
    </row>
    <row r="134" spans="1:9" ht="15.75" x14ac:dyDescent="0.3">
      <c r="A134" s="19">
        <v>13001</v>
      </c>
      <c r="B134" s="20" t="s">
        <v>328</v>
      </c>
      <c r="C134" s="21">
        <v>484486.75</v>
      </c>
      <c r="D134" s="21">
        <v>423156.08</v>
      </c>
      <c r="E134" s="21">
        <v>437624.47000000003</v>
      </c>
      <c r="F134" s="21">
        <v>484486.75</v>
      </c>
      <c r="G134" s="21">
        <v>387589.4</v>
      </c>
      <c r="H134" s="21">
        <v>409912.79</v>
      </c>
      <c r="I134" s="21">
        <v>22323.389999999956</v>
      </c>
    </row>
    <row r="135" spans="1:9" ht="15.75" x14ac:dyDescent="0.3">
      <c r="A135" s="19">
        <v>60006</v>
      </c>
      <c r="B135" s="20" t="s">
        <v>329</v>
      </c>
      <c r="C135" s="21">
        <v>280679.01</v>
      </c>
      <c r="D135" s="21">
        <v>158244.84999999998</v>
      </c>
      <c r="E135" s="21">
        <v>152686.31</v>
      </c>
      <c r="F135" s="21">
        <v>280679.01</v>
      </c>
      <c r="G135" s="21">
        <v>224543.20800000001</v>
      </c>
      <c r="H135" s="21">
        <v>162819.00999999998</v>
      </c>
      <c r="I135" s="21">
        <v>0</v>
      </c>
    </row>
    <row r="136" spans="1:9" ht="15.75" x14ac:dyDescent="0.3">
      <c r="A136" s="19">
        <v>11004</v>
      </c>
      <c r="B136" s="20" t="s">
        <v>330</v>
      </c>
      <c r="C136" s="21">
        <v>141688.36000000002</v>
      </c>
      <c r="D136" s="21">
        <v>131975.81</v>
      </c>
      <c r="E136" s="21">
        <v>160724.73000000001</v>
      </c>
      <c r="F136" s="21">
        <v>160724.73000000001</v>
      </c>
      <c r="G136" s="21">
        <v>128579.78400000001</v>
      </c>
      <c r="H136" s="21">
        <v>173633.68</v>
      </c>
      <c r="I136" s="21">
        <v>45053.895999999979</v>
      </c>
    </row>
    <row r="137" spans="1:9" ht="15.75" x14ac:dyDescent="0.3">
      <c r="A137" s="19">
        <v>51005</v>
      </c>
      <c r="B137" s="20" t="s">
        <v>331</v>
      </c>
      <c r="C137" s="21">
        <v>245557.29</v>
      </c>
      <c r="D137" s="21">
        <v>180108.86000000002</v>
      </c>
      <c r="E137" s="21">
        <v>196318.89</v>
      </c>
      <c r="F137" s="21">
        <v>245557.29</v>
      </c>
      <c r="G137" s="21">
        <v>196445.83200000002</v>
      </c>
      <c r="H137" s="21">
        <v>162983.47</v>
      </c>
      <c r="I137" s="21">
        <v>0</v>
      </c>
    </row>
    <row r="138" spans="1:9" ht="15.75" x14ac:dyDescent="0.3">
      <c r="A138" s="19">
        <v>6005</v>
      </c>
      <c r="B138" s="20" t="s">
        <v>332</v>
      </c>
      <c r="C138" s="21">
        <v>69897.94</v>
      </c>
      <c r="D138" s="21">
        <v>67958.75</v>
      </c>
      <c r="E138" s="21">
        <v>74386.53</v>
      </c>
      <c r="F138" s="21">
        <v>74386.53</v>
      </c>
      <c r="G138" s="21">
        <v>59509.224000000002</v>
      </c>
      <c r="H138" s="21">
        <v>71565.139999999985</v>
      </c>
      <c r="I138" s="21">
        <v>12055.915999999983</v>
      </c>
    </row>
    <row r="139" spans="1:9" ht="15.75" x14ac:dyDescent="0.3">
      <c r="A139" s="19">
        <v>14004</v>
      </c>
      <c r="B139" s="20" t="s">
        <v>333</v>
      </c>
      <c r="C139" s="21">
        <v>1282605.18</v>
      </c>
      <c r="D139" s="21">
        <v>1197281.3600000001</v>
      </c>
      <c r="E139" s="21">
        <v>1247800.3500000001</v>
      </c>
      <c r="F139" s="21">
        <v>1282605.18</v>
      </c>
      <c r="G139" s="21">
        <v>1026084.144</v>
      </c>
      <c r="H139" s="21">
        <v>1128805.1099999999</v>
      </c>
      <c r="I139" s="21">
        <v>102720.9659999999</v>
      </c>
    </row>
    <row r="140" spans="1:9" ht="15.75" x14ac:dyDescent="0.3">
      <c r="A140" s="19">
        <v>18003</v>
      </c>
      <c r="B140" s="20" t="s">
        <v>334</v>
      </c>
      <c r="C140" s="21">
        <v>88185.21</v>
      </c>
      <c r="D140" s="21">
        <v>76351.570000000007</v>
      </c>
      <c r="E140" s="21">
        <v>71796.959999999992</v>
      </c>
      <c r="F140" s="21">
        <v>88185.21</v>
      </c>
      <c r="G140" s="21">
        <v>70548.168000000005</v>
      </c>
      <c r="H140" s="21">
        <v>77661.19</v>
      </c>
      <c r="I140" s="21">
        <v>7113.0219999999972</v>
      </c>
    </row>
    <row r="141" spans="1:9" ht="15.75" x14ac:dyDescent="0.3">
      <c r="A141" s="19">
        <v>14005</v>
      </c>
      <c r="B141" s="20" t="s">
        <v>335</v>
      </c>
      <c r="C141" s="21">
        <v>121961.73000000001</v>
      </c>
      <c r="D141" s="21">
        <v>119194.70999999999</v>
      </c>
      <c r="E141" s="21">
        <v>135485.69</v>
      </c>
      <c r="F141" s="22">
        <v>147056.93210000001</v>
      </c>
      <c r="G141" s="21">
        <v>117645.54568000001</v>
      </c>
      <c r="H141" s="21">
        <v>99692.72</v>
      </c>
      <c r="I141" s="21">
        <v>0</v>
      </c>
    </row>
    <row r="142" spans="1:9" ht="15.75" x14ac:dyDescent="0.3">
      <c r="A142" s="19">
        <v>18005</v>
      </c>
      <c r="B142" s="20" t="s">
        <v>336</v>
      </c>
      <c r="C142" s="21">
        <v>238544.24</v>
      </c>
      <c r="D142" s="21">
        <v>206671.30000000002</v>
      </c>
      <c r="E142" s="21">
        <v>249549.11000000002</v>
      </c>
      <c r="F142" s="21">
        <v>249549.11000000002</v>
      </c>
      <c r="G142" s="21">
        <v>199639.28800000003</v>
      </c>
      <c r="H142" s="21">
        <v>261291.1</v>
      </c>
      <c r="I142" s="21">
        <v>61651.811999999976</v>
      </c>
    </row>
    <row r="143" spans="1:9" ht="15.75" x14ac:dyDescent="0.3">
      <c r="A143" s="19">
        <v>36002</v>
      </c>
      <c r="B143" s="20" t="s">
        <v>337</v>
      </c>
      <c r="C143" s="21">
        <v>359873.48000000004</v>
      </c>
      <c r="D143" s="21">
        <v>304558.3</v>
      </c>
      <c r="E143" s="21">
        <v>359500.49000000005</v>
      </c>
      <c r="F143" s="21">
        <v>359873.48000000004</v>
      </c>
      <c r="G143" s="21">
        <v>287898.78400000004</v>
      </c>
      <c r="H143" s="21">
        <v>337724.23</v>
      </c>
      <c r="I143" s="21">
        <v>49825.445999999938</v>
      </c>
    </row>
    <row r="144" spans="1:9" ht="15.75" x14ac:dyDescent="0.3">
      <c r="A144" s="19">
        <v>49007</v>
      </c>
      <c r="B144" s="20" t="s">
        <v>338</v>
      </c>
      <c r="C144" s="21">
        <v>817654.38000000012</v>
      </c>
      <c r="D144" s="21">
        <v>586342.38</v>
      </c>
      <c r="E144" s="21">
        <v>575191.38</v>
      </c>
      <c r="F144" s="21">
        <v>817654.38000000012</v>
      </c>
      <c r="G144" s="21">
        <v>654123.50400000019</v>
      </c>
      <c r="H144" s="21">
        <v>537768.01</v>
      </c>
      <c r="I144" s="21">
        <v>0</v>
      </c>
    </row>
    <row r="145" spans="1:9" ht="15.75" x14ac:dyDescent="0.3">
      <c r="A145" s="19">
        <v>1003</v>
      </c>
      <c r="B145" s="20" t="s">
        <v>339</v>
      </c>
      <c r="C145" s="21">
        <v>274410.23999999999</v>
      </c>
      <c r="D145" s="21">
        <v>217749.08</v>
      </c>
      <c r="E145" s="21">
        <v>222937.25</v>
      </c>
      <c r="F145" s="21">
        <v>274410.23999999999</v>
      </c>
      <c r="G145" s="21">
        <v>219528.19200000001</v>
      </c>
      <c r="H145" s="21">
        <v>218171.43999999997</v>
      </c>
      <c r="I145" s="21">
        <v>0</v>
      </c>
    </row>
    <row r="146" spans="1:9" ht="15.75" x14ac:dyDescent="0.3">
      <c r="A146" s="19">
        <v>47001</v>
      </c>
      <c r="B146" s="20" t="s">
        <v>340</v>
      </c>
      <c r="C146" s="21">
        <v>94528.590000000011</v>
      </c>
      <c r="D146" s="21">
        <v>132978.06</v>
      </c>
      <c r="E146" s="21">
        <v>88355.180000000008</v>
      </c>
      <c r="F146" s="21">
        <v>132978.06</v>
      </c>
      <c r="G146" s="21">
        <v>106382.448</v>
      </c>
      <c r="H146" s="21">
        <v>88498.09</v>
      </c>
      <c r="I146" s="21">
        <v>0</v>
      </c>
    </row>
    <row r="147" spans="1:9" ht="15.75" x14ac:dyDescent="0.3">
      <c r="A147" s="19">
        <v>12003</v>
      </c>
      <c r="B147" s="20" t="s">
        <v>341</v>
      </c>
      <c r="C147" s="21">
        <v>482990.94</v>
      </c>
      <c r="D147" s="21">
        <v>309231.23</v>
      </c>
      <c r="E147" s="21">
        <v>343068.47000000003</v>
      </c>
      <c r="F147" s="21">
        <v>482990.94</v>
      </c>
      <c r="G147" s="21">
        <v>386392.75200000004</v>
      </c>
      <c r="H147" s="21">
        <v>325611.33</v>
      </c>
      <c r="I147" s="21">
        <v>0</v>
      </c>
    </row>
    <row r="148" spans="1:9" ht="15.75" x14ac:dyDescent="0.3">
      <c r="A148" s="19">
        <v>54007</v>
      </c>
      <c r="B148" s="20" t="s">
        <v>342</v>
      </c>
      <c r="C148" s="21">
        <v>128105.22</v>
      </c>
      <c r="D148" s="21">
        <v>118850.47</v>
      </c>
      <c r="E148" s="21">
        <v>126819.02</v>
      </c>
      <c r="F148" s="21">
        <v>128105.22</v>
      </c>
      <c r="G148" s="21">
        <v>102484.17600000001</v>
      </c>
      <c r="H148" s="21">
        <v>110313.69</v>
      </c>
      <c r="I148" s="21">
        <v>7829.5139999999956</v>
      </c>
    </row>
    <row r="149" spans="1:9" ht="15.75" x14ac:dyDescent="0.3">
      <c r="A149" s="19">
        <v>59002</v>
      </c>
      <c r="B149" s="20" t="s">
        <v>343</v>
      </c>
      <c r="C149" s="21">
        <v>589137.57999999996</v>
      </c>
      <c r="D149" s="21">
        <v>319757.30000000005</v>
      </c>
      <c r="E149" s="21">
        <v>302796.79999999999</v>
      </c>
      <c r="F149" s="21">
        <v>589137.57999999996</v>
      </c>
      <c r="G149" s="21">
        <v>471310.06400000001</v>
      </c>
      <c r="H149" s="21">
        <v>336017.38</v>
      </c>
      <c r="I149" s="21">
        <v>0</v>
      </c>
    </row>
    <row r="150" spans="1:9" ht="15.75" x14ac:dyDescent="0.3">
      <c r="A150" s="19">
        <v>2006</v>
      </c>
      <c r="B150" s="20" t="s">
        <v>344</v>
      </c>
      <c r="C150" s="21">
        <v>127180.59999999999</v>
      </c>
      <c r="D150" s="21">
        <v>147867.84</v>
      </c>
      <c r="E150" s="21">
        <v>126976.84</v>
      </c>
      <c r="F150" s="21">
        <v>147867.84</v>
      </c>
      <c r="G150" s="21">
        <v>118294.272</v>
      </c>
      <c r="H150" s="21">
        <v>124356.4</v>
      </c>
      <c r="I150" s="21">
        <v>6062.127999999997</v>
      </c>
    </row>
    <row r="151" spans="1:9" ht="15.75" x14ac:dyDescent="0.3">
      <c r="A151" s="19">
        <v>55004</v>
      </c>
      <c r="B151" s="20" t="s">
        <v>345</v>
      </c>
      <c r="C151" s="21">
        <v>101418.98000000001</v>
      </c>
      <c r="D151" s="21">
        <v>75664.12999999999</v>
      </c>
      <c r="E151" s="21">
        <v>82642.45</v>
      </c>
      <c r="F151" s="21">
        <v>101418.98000000001</v>
      </c>
      <c r="G151" s="21">
        <v>81135.184000000008</v>
      </c>
      <c r="H151" s="21">
        <v>80975.030000000013</v>
      </c>
      <c r="I151" s="21">
        <v>0</v>
      </c>
    </row>
    <row r="152" spans="1:9" ht="15.75" x14ac:dyDescent="0.3">
      <c r="A152" s="19">
        <v>63003</v>
      </c>
      <c r="B152" s="20" t="s">
        <v>346</v>
      </c>
      <c r="C152" s="21">
        <v>957993.8</v>
      </c>
      <c r="D152" s="21">
        <v>840964.34000000008</v>
      </c>
      <c r="E152" s="21">
        <v>899377.99</v>
      </c>
      <c r="F152" s="21">
        <v>957993.8</v>
      </c>
      <c r="G152" s="21">
        <v>766395.04</v>
      </c>
      <c r="H152" s="21">
        <v>948156.52</v>
      </c>
      <c r="I152" s="21">
        <v>181761.47999999998</v>
      </c>
    </row>
    <row r="153" spans="1:9" ht="15.75" x14ac:dyDescent="0.3">
      <c r="A153" s="24"/>
      <c r="B153" s="25" t="s">
        <v>347</v>
      </c>
      <c r="C153" s="26">
        <v>53029558.199999981</v>
      </c>
      <c r="D153" s="26">
        <v>49142635.990000002</v>
      </c>
      <c r="E153" s="26">
        <v>48923836.430000022</v>
      </c>
      <c r="F153" s="21" t="s">
        <v>187</v>
      </c>
      <c r="G153" s="21"/>
      <c r="H153" s="26">
        <v>46606986.359999977</v>
      </c>
      <c r="I153" s="26">
        <v>4028410.086399999</v>
      </c>
    </row>
    <row r="154" spans="1:9" ht="15.75" x14ac:dyDescent="0.3">
      <c r="A154" s="27"/>
      <c r="B154" s="27"/>
      <c r="C154" s="9"/>
      <c r="D154" s="9"/>
      <c r="E154" s="9"/>
      <c r="F154" s="9"/>
      <c r="G154" s="9"/>
      <c r="H154" s="9"/>
      <c r="I154" s="9"/>
    </row>
    <row r="156" spans="1:9" ht="15.75" x14ac:dyDescent="0.3">
      <c r="A156" s="19">
        <v>25003</v>
      </c>
      <c r="B156" s="20" t="s">
        <v>348</v>
      </c>
      <c r="C156" s="21">
        <v>105193.11</v>
      </c>
      <c r="D156" s="21">
        <v>52550.989999999991</v>
      </c>
      <c r="E156" s="21">
        <v>82432.23</v>
      </c>
      <c r="F156" s="21">
        <v>105193.11</v>
      </c>
      <c r="G156" s="21"/>
      <c r="H156" s="21"/>
      <c r="I156" s="21"/>
    </row>
    <row r="157" spans="1:9" x14ac:dyDescent="0.25">
      <c r="A157" s="9"/>
      <c r="B157" s="9"/>
      <c r="C157" s="9"/>
      <c r="D157" s="9"/>
      <c r="E157" s="9"/>
      <c r="F157" s="9"/>
      <c r="G157" s="9"/>
      <c r="H157" s="28" t="s">
        <v>187</v>
      </c>
      <c r="I157" s="9"/>
    </row>
    <row r="158" spans="1:9" ht="15.75" x14ac:dyDescent="0.3">
      <c r="A158" s="9"/>
      <c r="B158" s="9"/>
      <c r="C158" s="9"/>
      <c r="D158" s="9"/>
      <c r="E158" s="11" t="s">
        <v>349</v>
      </c>
      <c r="F158" s="11">
        <v>21038.622000000003</v>
      </c>
      <c r="G158" s="9"/>
      <c r="H158" s="9"/>
      <c r="I158" s="9"/>
    </row>
    <row r="159" spans="1:9" ht="15.75" x14ac:dyDescent="0.3">
      <c r="A159" s="9"/>
      <c r="B159" s="9"/>
      <c r="C159" s="9"/>
      <c r="D159" s="9"/>
      <c r="E159" s="11" t="s">
        <v>350</v>
      </c>
      <c r="F159" s="11">
        <v>72583.245899999994</v>
      </c>
      <c r="G159" s="9"/>
      <c r="H159" s="9"/>
      <c r="I159" s="9"/>
    </row>
    <row r="160" spans="1:9" ht="15.75" x14ac:dyDescent="0.3">
      <c r="A160" s="9"/>
      <c r="B160" s="9"/>
      <c r="C160" s="9"/>
      <c r="D160" s="9"/>
      <c r="E160" s="11" t="s">
        <v>351</v>
      </c>
      <c r="F160" s="11">
        <v>11571.242099999999</v>
      </c>
      <c r="G160" s="9"/>
      <c r="H160" s="9"/>
      <c r="I160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633-42BA-4059-BBB5-A05154BE4BF1}">
  <sheetPr codeName="Sheet5">
    <pageSetUpPr fitToPage="1"/>
  </sheetPr>
  <dimension ref="A1:O16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ColWidth="9.140625" defaultRowHeight="14.25" x14ac:dyDescent="0.25"/>
  <cols>
    <col min="1" max="1" width="6.7109375" style="86" customWidth="1"/>
    <col min="2" max="2" width="27.5703125" style="86" bestFit="1" customWidth="1"/>
    <col min="3" max="3" width="16.5703125" style="83" bestFit="1" customWidth="1"/>
    <col min="4" max="4" width="13.7109375" style="85" customWidth="1"/>
    <col min="5" max="5" width="9.140625" style="83" bestFit="1" customWidth="1"/>
    <col min="6" max="6" width="7.42578125" style="83" bestFit="1" customWidth="1"/>
    <col min="7" max="7" width="7.5703125" style="83" bestFit="1" customWidth="1"/>
    <col min="8" max="8" width="9.7109375" style="83" bestFit="1" customWidth="1"/>
    <col min="9" max="9" width="13.140625" style="84" customWidth="1"/>
    <col min="10" max="10" width="12.85546875" style="83" customWidth="1"/>
    <col min="11" max="11" width="10.85546875" style="83" bestFit="1" customWidth="1"/>
    <col min="12" max="12" width="17.28515625" style="83" bestFit="1" customWidth="1"/>
    <col min="13" max="13" width="11.85546875" style="83" bestFit="1" customWidth="1"/>
    <col min="14" max="14" width="9.85546875" style="84" bestFit="1" customWidth="1"/>
    <col min="15" max="15" width="11.85546875" style="84" bestFit="1" customWidth="1"/>
    <col min="16" max="16384" width="9.140625" style="83"/>
  </cols>
  <sheetData>
    <row r="1" spans="1:15" ht="20.25" x14ac:dyDescent="0.35">
      <c r="B1" s="117" t="s">
        <v>415</v>
      </c>
    </row>
    <row r="2" spans="1:15" x14ac:dyDescent="0.25">
      <c r="B2" s="116" t="s">
        <v>17</v>
      </c>
    </row>
    <row r="4" spans="1:15" s="112" customFormat="1" x14ac:dyDescent="0.25">
      <c r="A4" s="525" t="s">
        <v>414</v>
      </c>
      <c r="B4" s="525"/>
      <c r="C4" s="112" t="s">
        <v>413</v>
      </c>
      <c r="D4" s="115" t="s">
        <v>412</v>
      </c>
      <c r="E4" s="112" t="s">
        <v>411</v>
      </c>
      <c r="F4" s="112" t="s">
        <v>410</v>
      </c>
      <c r="G4" s="112" t="s">
        <v>409</v>
      </c>
      <c r="H4" s="112" t="s">
        <v>408</v>
      </c>
      <c r="I4" s="114">
        <v>49131.96</v>
      </c>
      <c r="J4" s="112" t="s">
        <v>407</v>
      </c>
      <c r="K4" s="112" t="s">
        <v>406</v>
      </c>
      <c r="L4" s="112" t="s">
        <v>405</v>
      </c>
      <c r="M4" s="112" t="s">
        <v>404</v>
      </c>
      <c r="N4" s="113" t="s">
        <v>403</v>
      </c>
      <c r="O4" s="113"/>
    </row>
    <row r="5" spans="1:15" s="107" customFormat="1" ht="75.75" customHeight="1" x14ac:dyDescent="0.25">
      <c r="A5" s="111" t="s">
        <v>387</v>
      </c>
      <c r="B5" s="109" t="s">
        <v>402</v>
      </c>
      <c r="C5" s="109" t="s">
        <v>401</v>
      </c>
      <c r="D5" s="109" t="s">
        <v>400</v>
      </c>
      <c r="E5" s="110" t="s">
        <v>399</v>
      </c>
      <c r="F5" s="110" t="s">
        <v>398</v>
      </c>
      <c r="G5" s="109" t="s">
        <v>397</v>
      </c>
      <c r="H5" s="109" t="s">
        <v>396</v>
      </c>
      <c r="I5" s="108" t="s">
        <v>395</v>
      </c>
      <c r="J5" s="109" t="s">
        <v>394</v>
      </c>
      <c r="K5" s="109" t="s">
        <v>393</v>
      </c>
      <c r="L5" s="109" t="s">
        <v>392</v>
      </c>
      <c r="M5" s="109" t="s">
        <v>391</v>
      </c>
      <c r="N5" s="108" t="s">
        <v>390</v>
      </c>
      <c r="O5" s="108" t="s">
        <v>389</v>
      </c>
    </row>
    <row r="6" spans="1:15" x14ac:dyDescent="0.25">
      <c r="A6" s="105">
        <v>6001</v>
      </c>
      <c r="B6" s="105" t="s">
        <v>198</v>
      </c>
      <c r="C6" s="102">
        <v>4469.9399999999996</v>
      </c>
      <c r="D6" s="104">
        <v>36.75</v>
      </c>
      <c r="E6" s="101">
        <f t="shared" ref="E6:E37" si="0">IF(C6&lt;200,12,IF(C6&gt;600,15,(C6*0.0075)+10.5))</f>
        <v>15</v>
      </c>
      <c r="F6" s="101">
        <f t="shared" ref="F6:F37" si="1">C6/E6</f>
        <v>297.99599999999998</v>
      </c>
      <c r="G6" s="101">
        <f t="shared" ref="G6:G37" si="2">D6/E6</f>
        <v>2.4500000000000002</v>
      </c>
      <c r="H6" s="101">
        <f t="shared" ref="H6:H37" si="3">F6+G6</f>
        <v>300.44599999999997</v>
      </c>
      <c r="I6" s="99">
        <f t="shared" ref="I6:I37" si="4">$I$4*1.29</f>
        <v>63380.2284</v>
      </c>
      <c r="J6" s="99">
        <f t="shared" ref="J6:J37" si="5">H6*I6</f>
        <v>19042336.101866398</v>
      </c>
      <c r="K6" s="99">
        <f t="shared" ref="K6:K37" si="6">J6*0.3167</f>
        <v>6030707.8434610879</v>
      </c>
      <c r="L6" s="99">
        <v>5319</v>
      </c>
      <c r="M6" s="99">
        <f t="shared" ref="M6:M37" si="7">J6+K6+L6</f>
        <v>25078362.945327487</v>
      </c>
      <c r="N6" s="99">
        <v>0</v>
      </c>
      <c r="O6" s="99">
        <f t="shared" ref="O6:O37" si="8">IF(N6=0,M6,N6)</f>
        <v>25078362.945327487</v>
      </c>
    </row>
    <row r="7" spans="1:15" ht="13.5" customHeight="1" x14ac:dyDescent="0.25">
      <c r="A7" s="105">
        <v>58003</v>
      </c>
      <c r="B7" s="105" t="s">
        <v>199</v>
      </c>
      <c r="C7" s="102">
        <v>266.01</v>
      </c>
      <c r="D7" s="104">
        <v>2.75</v>
      </c>
      <c r="E7" s="101">
        <f t="shared" si="0"/>
        <v>12.495075</v>
      </c>
      <c r="F7" s="101">
        <f t="shared" si="1"/>
        <v>21.289187940048379</v>
      </c>
      <c r="G7" s="101">
        <f t="shared" si="2"/>
        <v>0.22008671416538117</v>
      </c>
      <c r="H7" s="101">
        <f t="shared" si="3"/>
        <v>21.509274654213758</v>
      </c>
      <c r="I7" s="99">
        <f t="shared" si="4"/>
        <v>63380.2284</v>
      </c>
      <c r="J7" s="99">
        <f t="shared" si="5"/>
        <v>1363262.740302399</v>
      </c>
      <c r="K7" s="99">
        <f t="shared" si="6"/>
        <v>431745.30985376972</v>
      </c>
      <c r="L7" s="99">
        <v>0</v>
      </c>
      <c r="M7" s="99">
        <f t="shared" si="7"/>
        <v>1795008.0501561686</v>
      </c>
      <c r="N7" s="99">
        <v>0</v>
      </c>
      <c r="O7" s="99">
        <f t="shared" si="8"/>
        <v>1795008.0501561686</v>
      </c>
    </row>
    <row r="8" spans="1:15" ht="13.5" customHeight="1" x14ac:dyDescent="0.25">
      <c r="A8" s="105">
        <v>61001</v>
      </c>
      <c r="B8" s="105" t="s">
        <v>200</v>
      </c>
      <c r="C8" s="102">
        <v>338.39</v>
      </c>
      <c r="D8" s="104">
        <v>0.25</v>
      </c>
      <c r="E8" s="101">
        <f t="shared" si="0"/>
        <v>13.037925</v>
      </c>
      <c r="F8" s="101">
        <f t="shared" si="1"/>
        <v>25.954283369477888</v>
      </c>
      <c r="G8" s="101">
        <f t="shared" si="2"/>
        <v>1.9174830350688472E-2</v>
      </c>
      <c r="H8" s="101">
        <f t="shared" si="3"/>
        <v>25.973458199828578</v>
      </c>
      <c r="I8" s="99">
        <f t="shared" si="4"/>
        <v>63380.2284</v>
      </c>
      <c r="J8" s="99">
        <f t="shared" si="5"/>
        <v>1646203.713042988</v>
      </c>
      <c r="K8" s="99">
        <f t="shared" si="6"/>
        <v>521352.71592071425</v>
      </c>
      <c r="L8" s="99">
        <v>0</v>
      </c>
      <c r="M8" s="99">
        <f t="shared" si="7"/>
        <v>2167556.4289637022</v>
      </c>
      <c r="N8" s="99">
        <v>0</v>
      </c>
      <c r="O8" s="99">
        <f t="shared" si="8"/>
        <v>2167556.4289637022</v>
      </c>
    </row>
    <row r="9" spans="1:15" ht="13.5" customHeight="1" x14ac:dyDescent="0.25">
      <c r="A9" s="105">
        <v>11001</v>
      </c>
      <c r="B9" s="105" t="s">
        <v>201</v>
      </c>
      <c r="C9" s="102">
        <v>316</v>
      </c>
      <c r="D9" s="104">
        <v>1.5</v>
      </c>
      <c r="E9" s="101">
        <f t="shared" si="0"/>
        <v>12.870000000000001</v>
      </c>
      <c r="F9" s="101">
        <f t="shared" si="1"/>
        <v>24.553224553224553</v>
      </c>
      <c r="G9" s="101">
        <f t="shared" si="2"/>
        <v>0.11655011655011654</v>
      </c>
      <c r="H9" s="101">
        <f t="shared" si="3"/>
        <v>24.669774669774668</v>
      </c>
      <c r="I9" s="99">
        <f t="shared" si="4"/>
        <v>63380.2284</v>
      </c>
      <c r="J9" s="99">
        <f t="shared" si="5"/>
        <v>1563575.953146853</v>
      </c>
      <c r="K9" s="99">
        <f t="shared" si="6"/>
        <v>495184.5043616083</v>
      </c>
      <c r="L9" s="99">
        <v>0</v>
      </c>
      <c r="M9" s="99">
        <f t="shared" si="7"/>
        <v>2058760.4575084613</v>
      </c>
      <c r="N9" s="99">
        <v>0</v>
      </c>
      <c r="O9" s="99">
        <f t="shared" si="8"/>
        <v>2058760.4575084613</v>
      </c>
    </row>
    <row r="10" spans="1:15" ht="13.5" customHeight="1" x14ac:dyDescent="0.25">
      <c r="A10" s="105">
        <v>38001</v>
      </c>
      <c r="B10" s="105" t="s">
        <v>202</v>
      </c>
      <c r="C10" s="102">
        <v>256</v>
      </c>
      <c r="D10" s="104">
        <v>0.25</v>
      </c>
      <c r="E10" s="101">
        <f t="shared" si="0"/>
        <v>12.42</v>
      </c>
      <c r="F10" s="101">
        <f t="shared" si="1"/>
        <v>20.611916264090176</v>
      </c>
      <c r="G10" s="101">
        <f t="shared" si="2"/>
        <v>2.0128824476650563E-2</v>
      </c>
      <c r="H10" s="101">
        <f t="shared" si="3"/>
        <v>20.632045088566827</v>
      </c>
      <c r="I10" s="99">
        <f t="shared" si="4"/>
        <v>63380.2284</v>
      </c>
      <c r="J10" s="99">
        <f t="shared" si="5"/>
        <v>1307663.7300724636</v>
      </c>
      <c r="K10" s="99">
        <f t="shared" si="6"/>
        <v>414137.10331394919</v>
      </c>
      <c r="L10" s="99">
        <v>0</v>
      </c>
      <c r="M10" s="99">
        <f t="shared" si="7"/>
        <v>1721800.8333864128</v>
      </c>
      <c r="N10" s="99">
        <v>0</v>
      </c>
      <c r="O10" s="99">
        <f t="shared" si="8"/>
        <v>1721800.8333864128</v>
      </c>
    </row>
    <row r="11" spans="1:15" ht="13.5" customHeight="1" x14ac:dyDescent="0.25">
      <c r="A11" s="105">
        <v>21001</v>
      </c>
      <c r="B11" s="105" t="s">
        <v>203</v>
      </c>
      <c r="C11" s="102">
        <v>179</v>
      </c>
      <c r="D11" s="104">
        <v>0.5</v>
      </c>
      <c r="E11" s="101">
        <f t="shared" si="0"/>
        <v>12</v>
      </c>
      <c r="F11" s="101">
        <f t="shared" si="1"/>
        <v>14.916666666666666</v>
      </c>
      <c r="G11" s="101">
        <f t="shared" si="2"/>
        <v>4.1666666666666664E-2</v>
      </c>
      <c r="H11" s="101">
        <f t="shared" si="3"/>
        <v>14.958333333333332</v>
      </c>
      <c r="I11" s="99">
        <f t="shared" si="4"/>
        <v>63380.2284</v>
      </c>
      <c r="J11" s="99">
        <f t="shared" si="5"/>
        <v>948062.58314999996</v>
      </c>
      <c r="K11" s="99">
        <f t="shared" si="6"/>
        <v>300251.42008360499</v>
      </c>
      <c r="L11" s="99">
        <v>0</v>
      </c>
      <c r="M11" s="99">
        <f t="shared" si="7"/>
        <v>1248314.0032336051</v>
      </c>
      <c r="N11" s="99">
        <v>0</v>
      </c>
      <c r="O11" s="99">
        <f t="shared" si="8"/>
        <v>1248314.0032336051</v>
      </c>
    </row>
    <row r="12" spans="1:15" ht="13.5" customHeight="1" x14ac:dyDescent="0.25">
      <c r="A12" s="105">
        <v>4001</v>
      </c>
      <c r="B12" s="105" t="s">
        <v>204</v>
      </c>
      <c r="C12" s="102">
        <v>232</v>
      </c>
      <c r="D12" s="104">
        <v>0</v>
      </c>
      <c r="E12" s="101">
        <f t="shared" si="0"/>
        <v>12.24</v>
      </c>
      <c r="F12" s="101">
        <f t="shared" si="1"/>
        <v>18.954248366013072</v>
      </c>
      <c r="G12" s="101">
        <f t="shared" si="2"/>
        <v>0</v>
      </c>
      <c r="H12" s="101">
        <f t="shared" si="3"/>
        <v>18.954248366013072</v>
      </c>
      <c r="I12" s="99">
        <f t="shared" si="4"/>
        <v>63380.2284</v>
      </c>
      <c r="J12" s="99">
        <f t="shared" si="5"/>
        <v>1201324.5905882353</v>
      </c>
      <c r="K12" s="99">
        <f t="shared" si="6"/>
        <v>380459.49783929408</v>
      </c>
      <c r="L12" s="99">
        <v>0</v>
      </c>
      <c r="M12" s="99">
        <f t="shared" si="7"/>
        <v>1581784.0884275294</v>
      </c>
      <c r="N12" s="99">
        <v>0</v>
      </c>
      <c r="O12" s="99">
        <f t="shared" si="8"/>
        <v>1581784.0884275294</v>
      </c>
    </row>
    <row r="13" spans="1:15" ht="13.5" customHeight="1" x14ac:dyDescent="0.25">
      <c r="A13" s="105">
        <v>49001</v>
      </c>
      <c r="B13" s="105" t="s">
        <v>205</v>
      </c>
      <c r="C13" s="102">
        <v>479</v>
      </c>
      <c r="D13" s="104">
        <v>0.75</v>
      </c>
      <c r="E13" s="101">
        <f t="shared" si="0"/>
        <v>14.092499999999999</v>
      </c>
      <c r="F13" s="101">
        <f t="shared" si="1"/>
        <v>33.989710839098812</v>
      </c>
      <c r="G13" s="101">
        <f t="shared" si="2"/>
        <v>5.3219797764768498E-2</v>
      </c>
      <c r="H13" s="101">
        <f t="shared" si="3"/>
        <v>34.042930636863581</v>
      </c>
      <c r="I13" s="99">
        <f t="shared" si="4"/>
        <v>63380.2284</v>
      </c>
      <c r="J13" s="99">
        <f t="shared" si="5"/>
        <v>2157648.7191697713</v>
      </c>
      <c r="K13" s="99">
        <f t="shared" si="6"/>
        <v>683327.34936106647</v>
      </c>
      <c r="L13" s="99">
        <v>0</v>
      </c>
      <c r="M13" s="99">
        <f t="shared" si="7"/>
        <v>2840976.068530838</v>
      </c>
      <c r="N13" s="99">
        <v>0</v>
      </c>
      <c r="O13" s="99">
        <f t="shared" si="8"/>
        <v>2840976.068530838</v>
      </c>
    </row>
    <row r="14" spans="1:15" ht="13.5" customHeight="1" x14ac:dyDescent="0.25">
      <c r="A14" s="105">
        <v>9001</v>
      </c>
      <c r="B14" s="105" t="s">
        <v>206</v>
      </c>
      <c r="C14" s="102">
        <v>1361.33</v>
      </c>
      <c r="D14" s="104">
        <v>1</v>
      </c>
      <c r="E14" s="101">
        <f t="shared" si="0"/>
        <v>15</v>
      </c>
      <c r="F14" s="101">
        <f t="shared" si="1"/>
        <v>90.755333333333326</v>
      </c>
      <c r="G14" s="101">
        <f t="shared" si="2"/>
        <v>6.6666666666666666E-2</v>
      </c>
      <c r="H14" s="101">
        <f t="shared" si="3"/>
        <v>90.821999999999989</v>
      </c>
      <c r="I14" s="99">
        <f t="shared" si="4"/>
        <v>63380.2284</v>
      </c>
      <c r="J14" s="99">
        <f t="shared" si="5"/>
        <v>5756319.1037447993</v>
      </c>
      <c r="K14" s="99">
        <f t="shared" si="6"/>
        <v>1823026.2601559779</v>
      </c>
      <c r="L14" s="99">
        <v>0</v>
      </c>
      <c r="M14" s="99">
        <f t="shared" si="7"/>
        <v>7579345.363900777</v>
      </c>
      <c r="N14" s="99">
        <v>0</v>
      </c>
      <c r="O14" s="99">
        <f t="shared" si="8"/>
        <v>7579345.363900777</v>
      </c>
    </row>
    <row r="15" spans="1:15" ht="13.5" customHeight="1" x14ac:dyDescent="0.25">
      <c r="A15" s="105">
        <v>3001</v>
      </c>
      <c r="B15" s="105" t="s">
        <v>207</v>
      </c>
      <c r="C15" s="102">
        <v>442</v>
      </c>
      <c r="D15" s="104">
        <v>0</v>
      </c>
      <c r="E15" s="101">
        <f t="shared" si="0"/>
        <v>13.815</v>
      </c>
      <c r="F15" s="101">
        <f t="shared" si="1"/>
        <v>31.994209192906261</v>
      </c>
      <c r="G15" s="101">
        <f t="shared" si="2"/>
        <v>0</v>
      </c>
      <c r="H15" s="101">
        <f t="shared" si="3"/>
        <v>31.994209192906261</v>
      </c>
      <c r="I15" s="99">
        <f t="shared" si="4"/>
        <v>63380.2284</v>
      </c>
      <c r="J15" s="99">
        <f t="shared" si="5"/>
        <v>2027800.2861237784</v>
      </c>
      <c r="K15" s="99">
        <f t="shared" si="6"/>
        <v>642204.35061540059</v>
      </c>
      <c r="L15" s="99">
        <v>0</v>
      </c>
      <c r="M15" s="99">
        <f t="shared" si="7"/>
        <v>2670004.636739179</v>
      </c>
      <c r="N15" s="99">
        <v>0</v>
      </c>
      <c r="O15" s="99">
        <f t="shared" si="8"/>
        <v>2670004.636739179</v>
      </c>
    </row>
    <row r="16" spans="1:15" ht="13.5" customHeight="1" x14ac:dyDescent="0.25">
      <c r="A16" s="105">
        <v>61002</v>
      </c>
      <c r="B16" s="105" t="s">
        <v>208</v>
      </c>
      <c r="C16" s="102">
        <v>693.33</v>
      </c>
      <c r="D16" s="104">
        <v>1.25</v>
      </c>
      <c r="E16" s="101">
        <f t="shared" si="0"/>
        <v>15</v>
      </c>
      <c r="F16" s="101">
        <f t="shared" si="1"/>
        <v>46.222000000000001</v>
      </c>
      <c r="G16" s="101">
        <f t="shared" si="2"/>
        <v>8.3333333333333329E-2</v>
      </c>
      <c r="H16" s="101">
        <f t="shared" si="3"/>
        <v>46.305333333333337</v>
      </c>
      <c r="I16" s="99">
        <f t="shared" si="4"/>
        <v>63380.2284</v>
      </c>
      <c r="J16" s="99">
        <f t="shared" si="5"/>
        <v>2934842.6028048</v>
      </c>
      <c r="K16" s="99">
        <f t="shared" si="6"/>
        <v>929464.65230828011</v>
      </c>
      <c r="L16" s="99">
        <v>0</v>
      </c>
      <c r="M16" s="99">
        <f t="shared" si="7"/>
        <v>3864307.2551130801</v>
      </c>
      <c r="N16" s="99">
        <v>0</v>
      </c>
      <c r="O16" s="99">
        <f t="shared" si="8"/>
        <v>3864307.2551130801</v>
      </c>
    </row>
    <row r="17" spans="1:15" ht="13.5" customHeight="1" x14ac:dyDescent="0.25">
      <c r="A17" s="105">
        <v>25001</v>
      </c>
      <c r="B17" s="105" t="s">
        <v>209</v>
      </c>
      <c r="C17" s="102">
        <v>91</v>
      </c>
      <c r="D17" s="104">
        <v>0</v>
      </c>
      <c r="E17" s="101">
        <f t="shared" si="0"/>
        <v>12</v>
      </c>
      <c r="F17" s="101">
        <f t="shared" si="1"/>
        <v>7.583333333333333</v>
      </c>
      <c r="G17" s="101">
        <f t="shared" si="2"/>
        <v>0</v>
      </c>
      <c r="H17" s="101">
        <f t="shared" si="3"/>
        <v>7.583333333333333</v>
      </c>
      <c r="I17" s="99">
        <f t="shared" si="4"/>
        <v>63380.2284</v>
      </c>
      <c r="J17" s="99">
        <f t="shared" si="5"/>
        <v>480633.39869999996</v>
      </c>
      <c r="K17" s="99">
        <f t="shared" si="6"/>
        <v>152216.59736828998</v>
      </c>
      <c r="L17" s="99">
        <v>0</v>
      </c>
      <c r="M17" s="99">
        <f t="shared" si="7"/>
        <v>632849.99606828997</v>
      </c>
      <c r="N17" s="99">
        <v>0</v>
      </c>
      <c r="O17" s="99">
        <f t="shared" si="8"/>
        <v>632849.99606828997</v>
      </c>
    </row>
    <row r="18" spans="1:15" ht="13.5" customHeight="1" x14ac:dyDescent="0.25">
      <c r="A18" s="105">
        <v>52001</v>
      </c>
      <c r="B18" s="105" t="s">
        <v>210</v>
      </c>
      <c r="C18" s="102">
        <v>146</v>
      </c>
      <c r="D18" s="104">
        <v>0</v>
      </c>
      <c r="E18" s="101">
        <f t="shared" si="0"/>
        <v>12</v>
      </c>
      <c r="F18" s="101">
        <f t="shared" si="1"/>
        <v>12.166666666666666</v>
      </c>
      <c r="G18" s="101">
        <f t="shared" si="2"/>
        <v>0</v>
      </c>
      <c r="H18" s="101">
        <f t="shared" si="3"/>
        <v>12.166666666666666</v>
      </c>
      <c r="I18" s="99">
        <f t="shared" si="4"/>
        <v>63380.2284</v>
      </c>
      <c r="J18" s="99">
        <f t="shared" si="5"/>
        <v>771126.11219999997</v>
      </c>
      <c r="K18" s="99">
        <f t="shared" si="6"/>
        <v>244215.63973373998</v>
      </c>
      <c r="L18" s="99">
        <v>0</v>
      </c>
      <c r="M18" s="99">
        <f t="shared" si="7"/>
        <v>1015341.75193374</v>
      </c>
      <c r="N18" s="99">
        <v>0</v>
      </c>
      <c r="O18" s="99">
        <f t="shared" si="8"/>
        <v>1015341.75193374</v>
      </c>
    </row>
    <row r="19" spans="1:15" ht="13.5" customHeight="1" x14ac:dyDescent="0.25">
      <c r="A19" s="105">
        <v>4002</v>
      </c>
      <c r="B19" s="105" t="s">
        <v>211</v>
      </c>
      <c r="C19" s="102">
        <v>531</v>
      </c>
      <c r="D19" s="104">
        <v>4</v>
      </c>
      <c r="E19" s="101">
        <f t="shared" si="0"/>
        <v>14.4825</v>
      </c>
      <c r="F19" s="101">
        <f t="shared" si="1"/>
        <v>36.664940445365097</v>
      </c>
      <c r="G19" s="101">
        <f t="shared" si="2"/>
        <v>0.27619540825133782</v>
      </c>
      <c r="H19" s="101">
        <f t="shared" si="3"/>
        <v>36.941135853616437</v>
      </c>
      <c r="I19" s="99">
        <f t="shared" si="4"/>
        <v>63380.2284</v>
      </c>
      <c r="J19" s="99">
        <f t="shared" si="5"/>
        <v>2341337.6277576387</v>
      </c>
      <c r="K19" s="99">
        <f t="shared" si="6"/>
        <v>741501.62671084411</v>
      </c>
      <c r="L19" s="99">
        <v>0</v>
      </c>
      <c r="M19" s="99">
        <f t="shared" si="7"/>
        <v>3082839.2544684829</v>
      </c>
      <c r="N19" s="99">
        <v>0</v>
      </c>
      <c r="O19" s="99">
        <f t="shared" si="8"/>
        <v>3082839.2544684829</v>
      </c>
    </row>
    <row r="20" spans="1:15" ht="13.5" customHeight="1" x14ac:dyDescent="0.25">
      <c r="A20" s="105">
        <v>22001</v>
      </c>
      <c r="B20" s="105" t="s">
        <v>212</v>
      </c>
      <c r="C20" s="102">
        <v>109</v>
      </c>
      <c r="D20" s="104">
        <v>0</v>
      </c>
      <c r="E20" s="101">
        <f t="shared" si="0"/>
        <v>12</v>
      </c>
      <c r="F20" s="101">
        <f t="shared" si="1"/>
        <v>9.0833333333333339</v>
      </c>
      <c r="G20" s="101">
        <f t="shared" si="2"/>
        <v>0</v>
      </c>
      <c r="H20" s="101">
        <f t="shared" si="3"/>
        <v>9.0833333333333339</v>
      </c>
      <c r="I20" s="99">
        <f t="shared" si="4"/>
        <v>63380.2284</v>
      </c>
      <c r="J20" s="99">
        <f t="shared" si="5"/>
        <v>575703.74129999999</v>
      </c>
      <c r="K20" s="99">
        <f t="shared" si="6"/>
        <v>182325.37486970998</v>
      </c>
      <c r="L20" s="99">
        <v>0</v>
      </c>
      <c r="M20" s="99">
        <f t="shared" si="7"/>
        <v>758029.11616970995</v>
      </c>
      <c r="N20" s="99">
        <v>0</v>
      </c>
      <c r="O20" s="99">
        <f t="shared" si="8"/>
        <v>758029.11616970995</v>
      </c>
    </row>
    <row r="21" spans="1:15" ht="13.5" customHeight="1" x14ac:dyDescent="0.25">
      <c r="A21" s="105">
        <v>49002</v>
      </c>
      <c r="B21" s="105" t="s">
        <v>213</v>
      </c>
      <c r="C21" s="102">
        <v>4249.75</v>
      </c>
      <c r="D21" s="104">
        <v>8.25</v>
      </c>
      <c r="E21" s="101">
        <f t="shared" si="0"/>
        <v>15</v>
      </c>
      <c r="F21" s="101">
        <f t="shared" si="1"/>
        <v>283.31666666666666</v>
      </c>
      <c r="G21" s="101">
        <f t="shared" si="2"/>
        <v>0.55000000000000004</v>
      </c>
      <c r="H21" s="101">
        <f t="shared" si="3"/>
        <v>283.86666666666667</v>
      </c>
      <c r="I21" s="99">
        <f t="shared" si="4"/>
        <v>63380.2284</v>
      </c>
      <c r="J21" s="99">
        <f t="shared" si="5"/>
        <v>17991534.168480001</v>
      </c>
      <c r="K21" s="99">
        <f t="shared" si="6"/>
        <v>5697918.8711576164</v>
      </c>
      <c r="L21" s="99">
        <v>0</v>
      </c>
      <c r="M21" s="99">
        <f t="shared" si="7"/>
        <v>23689453.039637618</v>
      </c>
      <c r="N21" s="99">
        <v>0</v>
      </c>
      <c r="O21" s="99">
        <f t="shared" si="8"/>
        <v>23689453.039637618</v>
      </c>
    </row>
    <row r="22" spans="1:15" ht="13.5" customHeight="1" x14ac:dyDescent="0.25">
      <c r="A22" s="105">
        <v>30003</v>
      </c>
      <c r="B22" s="105" t="s">
        <v>388</v>
      </c>
      <c r="C22" s="102">
        <v>340</v>
      </c>
      <c r="D22" s="104">
        <v>1</v>
      </c>
      <c r="E22" s="101">
        <f t="shared" si="0"/>
        <v>13.05</v>
      </c>
      <c r="F22" s="101">
        <f t="shared" si="1"/>
        <v>26.053639846743295</v>
      </c>
      <c r="G22" s="101">
        <f t="shared" si="2"/>
        <v>7.662835249042145E-2</v>
      </c>
      <c r="H22" s="101">
        <f t="shared" si="3"/>
        <v>26.130268199233715</v>
      </c>
      <c r="I22" s="99">
        <f t="shared" si="4"/>
        <v>63380.2284</v>
      </c>
      <c r="J22" s="99">
        <f t="shared" si="5"/>
        <v>1656142.3666206896</v>
      </c>
      <c r="K22" s="99">
        <f t="shared" si="6"/>
        <v>524500.28750877234</v>
      </c>
      <c r="L22" s="99">
        <v>0</v>
      </c>
      <c r="M22" s="99">
        <f t="shared" si="7"/>
        <v>2180642.6541294619</v>
      </c>
      <c r="N22" s="99">
        <v>0</v>
      </c>
      <c r="O22" s="99">
        <f t="shared" si="8"/>
        <v>2180642.6541294619</v>
      </c>
    </row>
    <row r="23" spans="1:15" ht="13.5" customHeight="1" x14ac:dyDescent="0.25">
      <c r="A23" s="105">
        <v>45004</v>
      </c>
      <c r="B23" s="105" t="s">
        <v>377</v>
      </c>
      <c r="C23" s="102">
        <v>418.75</v>
      </c>
      <c r="D23" s="104">
        <v>4.75</v>
      </c>
      <c r="E23" s="101">
        <f t="shared" si="0"/>
        <v>13.640625</v>
      </c>
      <c r="F23" s="101">
        <f t="shared" si="1"/>
        <v>30.698739977090494</v>
      </c>
      <c r="G23" s="101">
        <f t="shared" si="2"/>
        <v>0.34822451317296677</v>
      </c>
      <c r="H23" s="101">
        <f t="shared" si="3"/>
        <v>31.046964490263459</v>
      </c>
      <c r="I23" s="99">
        <f t="shared" si="4"/>
        <v>63380.2284</v>
      </c>
      <c r="J23" s="99">
        <f t="shared" si="5"/>
        <v>1967763.7005195876</v>
      </c>
      <c r="K23" s="99">
        <f t="shared" si="6"/>
        <v>623190.7639545534</v>
      </c>
      <c r="L23" s="99">
        <v>0</v>
      </c>
      <c r="M23" s="99">
        <f t="shared" si="7"/>
        <v>2590954.4644741411</v>
      </c>
      <c r="N23" s="99">
        <v>0</v>
      </c>
      <c r="O23" s="99">
        <f t="shared" si="8"/>
        <v>2590954.4644741411</v>
      </c>
    </row>
    <row r="24" spans="1:15" ht="13.5" customHeight="1" x14ac:dyDescent="0.25">
      <c r="A24" s="105">
        <v>5001</v>
      </c>
      <c r="B24" s="105" t="s">
        <v>216</v>
      </c>
      <c r="C24" s="102">
        <v>3402.03</v>
      </c>
      <c r="D24" s="104">
        <v>23.75</v>
      </c>
      <c r="E24" s="101">
        <f t="shared" si="0"/>
        <v>15</v>
      </c>
      <c r="F24" s="101">
        <f t="shared" si="1"/>
        <v>226.80200000000002</v>
      </c>
      <c r="G24" s="101">
        <f t="shared" si="2"/>
        <v>1.5833333333333333</v>
      </c>
      <c r="H24" s="101">
        <f t="shared" si="3"/>
        <v>228.38533333333336</v>
      </c>
      <c r="I24" s="99">
        <f t="shared" si="4"/>
        <v>63380.2284</v>
      </c>
      <c r="J24" s="99">
        <f t="shared" si="5"/>
        <v>14475114.589876803</v>
      </c>
      <c r="K24" s="99">
        <f t="shared" si="6"/>
        <v>4584268.7906139828</v>
      </c>
      <c r="L24" s="99">
        <v>0</v>
      </c>
      <c r="M24" s="99">
        <f t="shared" si="7"/>
        <v>19059383.380490787</v>
      </c>
      <c r="N24" s="99">
        <v>0</v>
      </c>
      <c r="O24" s="99">
        <f t="shared" si="8"/>
        <v>19059383.380490787</v>
      </c>
    </row>
    <row r="25" spans="1:15" ht="13.5" customHeight="1" x14ac:dyDescent="0.25">
      <c r="A25" s="105">
        <v>26002</v>
      </c>
      <c r="B25" s="105" t="s">
        <v>217</v>
      </c>
      <c r="C25" s="102">
        <v>243</v>
      </c>
      <c r="D25" s="104">
        <v>0</v>
      </c>
      <c r="E25" s="101">
        <f t="shared" si="0"/>
        <v>12.3225</v>
      </c>
      <c r="F25" s="101">
        <f t="shared" si="1"/>
        <v>19.720024345709071</v>
      </c>
      <c r="G25" s="101">
        <f t="shared" si="2"/>
        <v>0</v>
      </c>
      <c r="H25" s="101">
        <f t="shared" si="3"/>
        <v>19.720024345709071</v>
      </c>
      <c r="I25" s="99">
        <f t="shared" si="4"/>
        <v>63380.2284</v>
      </c>
      <c r="J25" s="99">
        <f t="shared" si="5"/>
        <v>1249859.6470846015</v>
      </c>
      <c r="K25" s="99">
        <f t="shared" si="6"/>
        <v>395830.55023169325</v>
      </c>
      <c r="L25" s="99">
        <v>0</v>
      </c>
      <c r="M25" s="99">
        <f t="shared" si="7"/>
        <v>1645690.1973162948</v>
      </c>
      <c r="N25" s="99">
        <v>0</v>
      </c>
      <c r="O25" s="99">
        <f t="shared" si="8"/>
        <v>1645690.1973162948</v>
      </c>
    </row>
    <row r="26" spans="1:15" ht="13.5" customHeight="1" x14ac:dyDescent="0.25">
      <c r="A26" s="105">
        <v>43001</v>
      </c>
      <c r="B26" s="105" t="s">
        <v>218</v>
      </c>
      <c r="C26" s="102">
        <v>193</v>
      </c>
      <c r="D26" s="104">
        <v>0.75</v>
      </c>
      <c r="E26" s="101">
        <f t="shared" si="0"/>
        <v>12</v>
      </c>
      <c r="F26" s="101">
        <f t="shared" si="1"/>
        <v>16.083333333333332</v>
      </c>
      <c r="G26" s="101">
        <f t="shared" si="2"/>
        <v>6.25E-2</v>
      </c>
      <c r="H26" s="101">
        <f t="shared" si="3"/>
        <v>16.145833333333332</v>
      </c>
      <c r="I26" s="99">
        <f t="shared" si="4"/>
        <v>63380.2284</v>
      </c>
      <c r="J26" s="99">
        <f t="shared" si="5"/>
        <v>1023326.6043749999</v>
      </c>
      <c r="K26" s="99">
        <f t="shared" si="6"/>
        <v>324087.53560556244</v>
      </c>
      <c r="L26" s="99">
        <v>0</v>
      </c>
      <c r="M26" s="99">
        <f t="shared" si="7"/>
        <v>1347414.1399805623</v>
      </c>
      <c r="N26" s="99">
        <v>0</v>
      </c>
      <c r="O26" s="99">
        <f t="shared" si="8"/>
        <v>1347414.1399805623</v>
      </c>
    </row>
    <row r="27" spans="1:15" ht="13.5" customHeight="1" x14ac:dyDescent="0.25">
      <c r="A27" s="105">
        <v>41001</v>
      </c>
      <c r="B27" s="105" t="s">
        <v>219</v>
      </c>
      <c r="C27" s="102">
        <v>872.88</v>
      </c>
      <c r="D27" s="104">
        <v>1</v>
      </c>
      <c r="E27" s="101">
        <f t="shared" si="0"/>
        <v>15</v>
      </c>
      <c r="F27" s="101">
        <f t="shared" si="1"/>
        <v>58.192</v>
      </c>
      <c r="G27" s="101">
        <f t="shared" si="2"/>
        <v>6.6666666666666666E-2</v>
      </c>
      <c r="H27" s="101">
        <f t="shared" si="3"/>
        <v>58.25866666666667</v>
      </c>
      <c r="I27" s="99">
        <f t="shared" si="4"/>
        <v>63380.2284</v>
      </c>
      <c r="J27" s="99">
        <f t="shared" si="5"/>
        <v>3692447.5996128004</v>
      </c>
      <c r="K27" s="99">
        <f t="shared" si="6"/>
        <v>1169398.1547973738</v>
      </c>
      <c r="L27" s="99">
        <v>7911</v>
      </c>
      <c r="M27" s="99">
        <f t="shared" si="7"/>
        <v>4869756.7544101737</v>
      </c>
      <c r="N27" s="99">
        <v>0</v>
      </c>
      <c r="O27" s="99">
        <f t="shared" si="8"/>
        <v>4869756.7544101737</v>
      </c>
    </row>
    <row r="28" spans="1:15" ht="13.5" customHeight="1" x14ac:dyDescent="0.25">
      <c r="A28" s="105">
        <v>28001</v>
      </c>
      <c r="B28" s="105" t="s">
        <v>220</v>
      </c>
      <c r="C28" s="102">
        <v>294</v>
      </c>
      <c r="D28" s="104">
        <v>1.5</v>
      </c>
      <c r="E28" s="101">
        <f t="shared" si="0"/>
        <v>12.705</v>
      </c>
      <c r="F28" s="101">
        <f t="shared" si="1"/>
        <v>23.140495867768596</v>
      </c>
      <c r="G28" s="101">
        <f t="shared" si="2"/>
        <v>0.1180637544273908</v>
      </c>
      <c r="H28" s="101">
        <f t="shared" si="3"/>
        <v>23.258559622195985</v>
      </c>
      <c r="I28" s="99">
        <f t="shared" si="4"/>
        <v>63380.2284</v>
      </c>
      <c r="J28" s="99">
        <f t="shared" si="5"/>
        <v>1474132.8211097992</v>
      </c>
      <c r="K28" s="99">
        <f t="shared" si="6"/>
        <v>466857.86444547336</v>
      </c>
      <c r="L28" s="99">
        <v>0</v>
      </c>
      <c r="M28" s="99">
        <f t="shared" si="7"/>
        <v>1940990.6855552725</v>
      </c>
      <c r="N28" s="99">
        <v>0</v>
      </c>
      <c r="O28" s="99">
        <f t="shared" si="8"/>
        <v>1940990.6855552725</v>
      </c>
    </row>
    <row r="29" spans="1:15" ht="13.5" customHeight="1" x14ac:dyDescent="0.25">
      <c r="A29" s="105">
        <v>60001</v>
      </c>
      <c r="B29" s="105" t="s">
        <v>221</v>
      </c>
      <c r="C29" s="102">
        <v>273.39</v>
      </c>
      <c r="D29" s="104">
        <v>0.25</v>
      </c>
      <c r="E29" s="101">
        <f t="shared" si="0"/>
        <v>12.550425000000001</v>
      </c>
      <c r="F29" s="101">
        <f t="shared" si="1"/>
        <v>21.783326062663214</v>
      </c>
      <c r="G29" s="101">
        <f t="shared" si="2"/>
        <v>1.9919644155476805E-2</v>
      </c>
      <c r="H29" s="101">
        <f t="shared" si="3"/>
        <v>21.803245706818689</v>
      </c>
      <c r="I29" s="99">
        <f t="shared" si="4"/>
        <v>63380.2284</v>
      </c>
      <c r="J29" s="99">
        <f t="shared" si="5"/>
        <v>1381894.692759488</v>
      </c>
      <c r="K29" s="99">
        <f t="shared" si="6"/>
        <v>437646.04919692985</v>
      </c>
      <c r="L29" s="99">
        <v>0</v>
      </c>
      <c r="M29" s="99">
        <f t="shared" si="7"/>
        <v>1819540.7419564179</v>
      </c>
      <c r="N29" s="99">
        <v>0</v>
      </c>
      <c r="O29" s="99">
        <f t="shared" si="8"/>
        <v>1819540.7419564179</v>
      </c>
    </row>
    <row r="30" spans="1:15" ht="13.5" customHeight="1" x14ac:dyDescent="0.25">
      <c r="A30" s="105">
        <v>7001</v>
      </c>
      <c r="B30" s="105" t="s">
        <v>222</v>
      </c>
      <c r="C30" s="102">
        <v>885.51</v>
      </c>
      <c r="D30" s="104">
        <v>0</v>
      </c>
      <c r="E30" s="101">
        <f t="shared" si="0"/>
        <v>15</v>
      </c>
      <c r="F30" s="101">
        <f t="shared" si="1"/>
        <v>59.033999999999999</v>
      </c>
      <c r="G30" s="101">
        <f t="shared" si="2"/>
        <v>0</v>
      </c>
      <c r="H30" s="101">
        <f t="shared" si="3"/>
        <v>59.033999999999999</v>
      </c>
      <c r="I30" s="99">
        <f t="shared" si="4"/>
        <v>63380.2284</v>
      </c>
      <c r="J30" s="99">
        <f t="shared" si="5"/>
        <v>3741588.4033655999</v>
      </c>
      <c r="K30" s="99">
        <f t="shared" si="6"/>
        <v>1184961.0473458855</v>
      </c>
      <c r="L30" s="99">
        <v>0</v>
      </c>
      <c r="M30" s="99">
        <f t="shared" si="7"/>
        <v>4926549.450711485</v>
      </c>
      <c r="N30" s="99">
        <v>0</v>
      </c>
      <c r="O30" s="99">
        <f t="shared" si="8"/>
        <v>4926549.450711485</v>
      </c>
    </row>
    <row r="31" spans="1:15" ht="13.5" customHeight="1" x14ac:dyDescent="0.25">
      <c r="A31" s="105">
        <v>39001</v>
      </c>
      <c r="B31" s="105" t="s">
        <v>376</v>
      </c>
      <c r="C31" s="102">
        <v>531</v>
      </c>
      <c r="D31" s="104">
        <v>3.5</v>
      </c>
      <c r="E31" s="101">
        <f t="shared" si="0"/>
        <v>14.4825</v>
      </c>
      <c r="F31" s="101">
        <f t="shared" si="1"/>
        <v>36.664940445365097</v>
      </c>
      <c r="G31" s="101">
        <f t="shared" si="2"/>
        <v>0.24167098221992059</v>
      </c>
      <c r="H31" s="101">
        <f t="shared" si="3"/>
        <v>36.90661142758502</v>
      </c>
      <c r="I31" s="99">
        <f t="shared" si="4"/>
        <v>63380.2284</v>
      </c>
      <c r="J31" s="99">
        <f t="shared" si="5"/>
        <v>2339149.4617503886</v>
      </c>
      <c r="K31" s="99">
        <f t="shared" si="6"/>
        <v>740808.63453634805</v>
      </c>
      <c r="L31" s="99">
        <v>0</v>
      </c>
      <c r="M31" s="99">
        <f t="shared" si="7"/>
        <v>3079958.0962867364</v>
      </c>
      <c r="N31" s="99">
        <v>0</v>
      </c>
      <c r="O31" s="99">
        <f t="shared" si="8"/>
        <v>3079958.0962867364</v>
      </c>
    </row>
    <row r="32" spans="1:15" ht="13.5" customHeight="1" x14ac:dyDescent="0.25">
      <c r="A32" s="105">
        <v>12002</v>
      </c>
      <c r="B32" s="105" t="s">
        <v>224</v>
      </c>
      <c r="C32" s="102">
        <v>376</v>
      </c>
      <c r="D32" s="104">
        <v>16</v>
      </c>
      <c r="E32" s="101">
        <f t="shared" si="0"/>
        <v>13.32</v>
      </c>
      <c r="F32" s="101">
        <f t="shared" si="1"/>
        <v>28.228228228228229</v>
      </c>
      <c r="G32" s="101">
        <f t="shared" si="2"/>
        <v>1.2012012012012012</v>
      </c>
      <c r="H32" s="101">
        <f t="shared" si="3"/>
        <v>29.42942942942943</v>
      </c>
      <c r="I32" s="99">
        <f t="shared" si="4"/>
        <v>63380.2284</v>
      </c>
      <c r="J32" s="99">
        <f t="shared" si="5"/>
        <v>1865243.9589189189</v>
      </c>
      <c r="K32" s="99">
        <f t="shared" si="6"/>
        <v>590722.76178962155</v>
      </c>
      <c r="L32" s="99">
        <v>0</v>
      </c>
      <c r="M32" s="99">
        <f t="shared" si="7"/>
        <v>2455966.7207085406</v>
      </c>
      <c r="N32" s="99">
        <v>0</v>
      </c>
      <c r="O32" s="99">
        <f t="shared" si="8"/>
        <v>2455966.7207085406</v>
      </c>
    </row>
    <row r="33" spans="1:15" ht="13.5" customHeight="1" x14ac:dyDescent="0.25">
      <c r="A33" s="105">
        <v>50005</v>
      </c>
      <c r="B33" s="105" t="s">
        <v>225</v>
      </c>
      <c r="C33" s="102">
        <v>252.6</v>
      </c>
      <c r="D33" s="104">
        <v>0</v>
      </c>
      <c r="E33" s="101">
        <f t="shared" si="0"/>
        <v>12.394500000000001</v>
      </c>
      <c r="F33" s="101">
        <f t="shared" si="1"/>
        <v>20.380007261285247</v>
      </c>
      <c r="G33" s="101">
        <f t="shared" si="2"/>
        <v>0</v>
      </c>
      <c r="H33" s="101">
        <f t="shared" si="3"/>
        <v>20.380007261285247</v>
      </c>
      <c r="I33" s="99">
        <f t="shared" si="4"/>
        <v>63380.2284</v>
      </c>
      <c r="J33" s="99">
        <f t="shared" si="5"/>
        <v>1291689.5150139173</v>
      </c>
      <c r="K33" s="99">
        <f t="shared" si="6"/>
        <v>409078.06940490758</v>
      </c>
      <c r="L33" s="99">
        <v>0</v>
      </c>
      <c r="M33" s="99">
        <f t="shared" si="7"/>
        <v>1700767.5844188249</v>
      </c>
      <c r="N33" s="99">
        <v>0</v>
      </c>
      <c r="O33" s="99">
        <f t="shared" si="8"/>
        <v>1700767.5844188249</v>
      </c>
    </row>
    <row r="34" spans="1:15" ht="13.5" customHeight="1" x14ac:dyDescent="0.25">
      <c r="A34" s="105">
        <v>59003</v>
      </c>
      <c r="B34" s="105" t="s">
        <v>226</v>
      </c>
      <c r="C34" s="102">
        <v>229</v>
      </c>
      <c r="D34" s="104">
        <v>0</v>
      </c>
      <c r="E34" s="101">
        <f t="shared" si="0"/>
        <v>12.217499999999999</v>
      </c>
      <c r="F34" s="101">
        <f t="shared" si="1"/>
        <v>18.743605483936978</v>
      </c>
      <c r="G34" s="101">
        <f t="shared" si="2"/>
        <v>0</v>
      </c>
      <c r="H34" s="101">
        <f t="shared" si="3"/>
        <v>18.743605483936978</v>
      </c>
      <c r="I34" s="99">
        <f t="shared" si="4"/>
        <v>63380.2284</v>
      </c>
      <c r="J34" s="99">
        <f t="shared" si="5"/>
        <v>1187973.9966114182</v>
      </c>
      <c r="K34" s="99">
        <f t="shared" si="6"/>
        <v>376231.36472683609</v>
      </c>
      <c r="L34" s="99">
        <v>0</v>
      </c>
      <c r="M34" s="99">
        <f t="shared" si="7"/>
        <v>1564205.3613382543</v>
      </c>
      <c r="N34" s="99">
        <v>0</v>
      </c>
      <c r="O34" s="99">
        <f t="shared" si="8"/>
        <v>1564205.3613382543</v>
      </c>
    </row>
    <row r="35" spans="1:15" ht="13.5" customHeight="1" x14ac:dyDescent="0.25">
      <c r="A35" s="105">
        <v>21003</v>
      </c>
      <c r="B35" s="105" t="s">
        <v>227</v>
      </c>
      <c r="C35" s="102">
        <v>253</v>
      </c>
      <c r="D35" s="104">
        <v>0</v>
      </c>
      <c r="E35" s="101">
        <f t="shared" si="0"/>
        <v>12.397500000000001</v>
      </c>
      <c r="F35" s="101">
        <f t="shared" si="1"/>
        <v>20.407340189554343</v>
      </c>
      <c r="G35" s="101">
        <f t="shared" si="2"/>
        <v>0</v>
      </c>
      <c r="H35" s="101">
        <f t="shared" si="3"/>
        <v>20.407340189554343</v>
      </c>
      <c r="I35" s="99">
        <f t="shared" si="4"/>
        <v>63380.2284</v>
      </c>
      <c r="J35" s="99">
        <f t="shared" si="5"/>
        <v>1293421.8822504536</v>
      </c>
      <c r="K35" s="99">
        <f t="shared" si="6"/>
        <v>409626.7101087186</v>
      </c>
      <c r="L35" s="99">
        <v>0</v>
      </c>
      <c r="M35" s="99">
        <f t="shared" si="7"/>
        <v>1703048.5923591722</v>
      </c>
      <c r="N35" s="99">
        <v>0</v>
      </c>
      <c r="O35" s="99">
        <f t="shared" si="8"/>
        <v>1703048.5923591722</v>
      </c>
    </row>
    <row r="36" spans="1:15" ht="13.5" customHeight="1" x14ac:dyDescent="0.25">
      <c r="A36" s="105">
        <v>16001</v>
      </c>
      <c r="B36" s="105" t="s">
        <v>228</v>
      </c>
      <c r="C36" s="102">
        <v>958.86</v>
      </c>
      <c r="D36" s="104">
        <v>0.25</v>
      </c>
      <c r="E36" s="101">
        <f t="shared" si="0"/>
        <v>15</v>
      </c>
      <c r="F36" s="101">
        <f t="shared" si="1"/>
        <v>63.923999999999999</v>
      </c>
      <c r="G36" s="101">
        <f t="shared" si="2"/>
        <v>1.6666666666666666E-2</v>
      </c>
      <c r="H36" s="101">
        <f t="shared" si="3"/>
        <v>63.940666666666665</v>
      </c>
      <c r="I36" s="99">
        <f t="shared" si="4"/>
        <v>63380.2284</v>
      </c>
      <c r="J36" s="99">
        <f t="shared" si="5"/>
        <v>4052574.0573815997</v>
      </c>
      <c r="K36" s="99">
        <f t="shared" si="6"/>
        <v>1283450.2039727524</v>
      </c>
      <c r="L36" s="99">
        <v>0</v>
      </c>
      <c r="M36" s="99">
        <f t="shared" si="7"/>
        <v>5336024.2613543523</v>
      </c>
      <c r="N36" s="99">
        <v>0</v>
      </c>
      <c r="O36" s="99">
        <f t="shared" si="8"/>
        <v>5336024.2613543523</v>
      </c>
    </row>
    <row r="37" spans="1:15" ht="13.5" customHeight="1" x14ac:dyDescent="0.25">
      <c r="A37" s="105">
        <v>61008</v>
      </c>
      <c r="B37" s="105" t="s">
        <v>229</v>
      </c>
      <c r="C37" s="102">
        <v>1355.41</v>
      </c>
      <c r="D37" s="104">
        <v>1.5</v>
      </c>
      <c r="E37" s="101">
        <f t="shared" si="0"/>
        <v>15</v>
      </c>
      <c r="F37" s="101">
        <f t="shared" si="1"/>
        <v>90.360666666666674</v>
      </c>
      <c r="G37" s="101">
        <f t="shared" si="2"/>
        <v>0.1</v>
      </c>
      <c r="H37" s="101">
        <f t="shared" si="3"/>
        <v>90.460666666666668</v>
      </c>
      <c r="I37" s="99">
        <f t="shared" si="4"/>
        <v>63380.2284</v>
      </c>
      <c r="J37" s="99">
        <f t="shared" si="5"/>
        <v>5733417.7145496001</v>
      </c>
      <c r="K37" s="99">
        <f t="shared" si="6"/>
        <v>1815773.3901978582</v>
      </c>
      <c r="L37" s="99">
        <v>0</v>
      </c>
      <c r="M37" s="99">
        <f t="shared" si="7"/>
        <v>7549191.1047474584</v>
      </c>
      <c r="N37" s="99">
        <v>0</v>
      </c>
      <c r="O37" s="99">
        <f t="shared" si="8"/>
        <v>7549191.1047474584</v>
      </c>
    </row>
    <row r="38" spans="1:15" ht="13.5" customHeight="1" x14ac:dyDescent="0.25">
      <c r="A38" s="105">
        <v>38002</v>
      </c>
      <c r="B38" s="105" t="s">
        <v>230</v>
      </c>
      <c r="C38" s="102">
        <v>285</v>
      </c>
      <c r="D38" s="104">
        <v>0</v>
      </c>
      <c r="E38" s="101">
        <f t="shared" ref="E38:E69" si="9">IF(C38&lt;200,12,IF(C38&gt;600,15,(C38*0.0075)+10.5))</f>
        <v>12.637499999999999</v>
      </c>
      <c r="F38" s="101">
        <f t="shared" ref="F38:F69" si="10">C38/E38</f>
        <v>22.551928783382792</v>
      </c>
      <c r="G38" s="101">
        <f t="shared" ref="G38:G69" si="11">D38/E38</f>
        <v>0</v>
      </c>
      <c r="H38" s="101">
        <f t="shared" ref="H38:H69" si="12">F38+G38</f>
        <v>22.551928783382792</v>
      </c>
      <c r="I38" s="99">
        <f t="shared" ref="I38:I69" si="13">$I$4*1.29</f>
        <v>63380.2284</v>
      </c>
      <c r="J38" s="99">
        <f t="shared" ref="J38:J69" si="14">H38*I38</f>
        <v>1429346.3971513354</v>
      </c>
      <c r="K38" s="99">
        <f t="shared" ref="K38:K69" si="15">J38*0.3167</f>
        <v>452674.0039778279</v>
      </c>
      <c r="L38" s="99">
        <v>0</v>
      </c>
      <c r="M38" s="99">
        <f t="shared" ref="M38:M69" si="16">J38+K38+L38</f>
        <v>1882020.4011291633</v>
      </c>
      <c r="N38" s="99">
        <v>0</v>
      </c>
      <c r="O38" s="99">
        <f t="shared" ref="O38:O69" si="17">IF(N38=0,M38,N38)</f>
        <v>1882020.4011291633</v>
      </c>
    </row>
    <row r="39" spans="1:15" ht="13.5" customHeight="1" x14ac:dyDescent="0.25">
      <c r="A39" s="105">
        <v>49003</v>
      </c>
      <c r="B39" s="105" t="s">
        <v>231</v>
      </c>
      <c r="C39" s="102">
        <v>951.27</v>
      </c>
      <c r="D39" s="104">
        <v>1.25</v>
      </c>
      <c r="E39" s="101">
        <f t="shared" si="9"/>
        <v>15</v>
      </c>
      <c r="F39" s="101">
        <f t="shared" si="10"/>
        <v>63.417999999999999</v>
      </c>
      <c r="G39" s="101">
        <f t="shared" si="11"/>
        <v>8.3333333333333329E-2</v>
      </c>
      <c r="H39" s="101">
        <f t="shared" si="12"/>
        <v>63.501333333333335</v>
      </c>
      <c r="I39" s="99">
        <f t="shared" si="13"/>
        <v>63380.2284</v>
      </c>
      <c r="J39" s="99">
        <f t="shared" si="14"/>
        <v>4024729.0103712003</v>
      </c>
      <c r="K39" s="99">
        <f t="shared" si="15"/>
        <v>1274631.677584559</v>
      </c>
      <c r="L39" s="99">
        <v>0</v>
      </c>
      <c r="M39" s="99">
        <f t="shared" si="16"/>
        <v>5299360.6879557595</v>
      </c>
      <c r="N39" s="99">
        <v>0</v>
      </c>
      <c r="O39" s="99">
        <f t="shared" si="17"/>
        <v>5299360.6879557595</v>
      </c>
    </row>
    <row r="40" spans="1:15" ht="13.5" customHeight="1" x14ac:dyDescent="0.25">
      <c r="A40" s="105">
        <v>5006</v>
      </c>
      <c r="B40" s="105" t="s">
        <v>375</v>
      </c>
      <c r="C40" s="102">
        <v>379</v>
      </c>
      <c r="D40" s="104">
        <v>5</v>
      </c>
      <c r="E40" s="101">
        <f t="shared" si="9"/>
        <v>13.342499999999999</v>
      </c>
      <c r="F40" s="101">
        <f t="shared" si="10"/>
        <v>28.405471238523518</v>
      </c>
      <c r="G40" s="101">
        <f t="shared" si="11"/>
        <v>0.37474236462432081</v>
      </c>
      <c r="H40" s="101">
        <f t="shared" si="12"/>
        <v>28.780213603147839</v>
      </c>
      <c r="I40" s="99">
        <f t="shared" si="13"/>
        <v>63380.2284</v>
      </c>
      <c r="J40" s="99">
        <f t="shared" si="14"/>
        <v>1824096.5115682969</v>
      </c>
      <c r="K40" s="99">
        <f t="shared" si="15"/>
        <v>577691.36521367962</v>
      </c>
      <c r="L40" s="99">
        <v>0</v>
      </c>
      <c r="M40" s="99">
        <f t="shared" si="16"/>
        <v>2401787.8767819768</v>
      </c>
      <c r="N40" s="99">
        <v>0</v>
      </c>
      <c r="O40" s="99">
        <f t="shared" si="17"/>
        <v>2401787.8767819768</v>
      </c>
    </row>
    <row r="41" spans="1:15" ht="13.5" customHeight="1" x14ac:dyDescent="0.25">
      <c r="A41" s="105">
        <v>19004</v>
      </c>
      <c r="B41" s="105" t="s">
        <v>233</v>
      </c>
      <c r="C41" s="102">
        <v>513.25</v>
      </c>
      <c r="D41" s="104">
        <v>1.5</v>
      </c>
      <c r="E41" s="101">
        <f t="shared" si="9"/>
        <v>14.349375</v>
      </c>
      <c r="F41" s="101">
        <f t="shared" si="10"/>
        <v>35.768108367089155</v>
      </c>
      <c r="G41" s="101">
        <f t="shared" si="11"/>
        <v>0.10453416960669018</v>
      </c>
      <c r="H41" s="101">
        <f t="shared" si="12"/>
        <v>35.872642536695842</v>
      </c>
      <c r="I41" s="99">
        <f t="shared" si="13"/>
        <v>63380.2284</v>
      </c>
      <c r="J41" s="99">
        <f t="shared" si="14"/>
        <v>2273616.2772873379</v>
      </c>
      <c r="K41" s="99">
        <f t="shared" si="15"/>
        <v>720054.27501689992</v>
      </c>
      <c r="L41" s="99">
        <v>0</v>
      </c>
      <c r="M41" s="99">
        <f t="shared" si="16"/>
        <v>2993670.5523042381</v>
      </c>
      <c r="N41" s="99">
        <v>0</v>
      </c>
      <c r="O41" s="99">
        <f t="shared" si="17"/>
        <v>2993670.5523042381</v>
      </c>
    </row>
    <row r="42" spans="1:15" ht="13.5" customHeight="1" x14ac:dyDescent="0.25">
      <c r="A42" s="105">
        <v>56002</v>
      </c>
      <c r="B42" s="105" t="s">
        <v>234</v>
      </c>
      <c r="C42" s="102">
        <v>160</v>
      </c>
      <c r="D42" s="104">
        <v>5.5</v>
      </c>
      <c r="E42" s="101">
        <f t="shared" si="9"/>
        <v>12</v>
      </c>
      <c r="F42" s="101">
        <f t="shared" si="10"/>
        <v>13.333333333333334</v>
      </c>
      <c r="G42" s="101">
        <f t="shared" si="11"/>
        <v>0.45833333333333331</v>
      </c>
      <c r="H42" s="101">
        <f t="shared" si="12"/>
        <v>13.791666666666668</v>
      </c>
      <c r="I42" s="99">
        <f t="shared" si="13"/>
        <v>63380.2284</v>
      </c>
      <c r="J42" s="99">
        <f t="shared" si="14"/>
        <v>874118.98335000011</v>
      </c>
      <c r="K42" s="99">
        <f t="shared" si="15"/>
        <v>276833.48202694504</v>
      </c>
      <c r="L42" s="99">
        <v>0</v>
      </c>
      <c r="M42" s="99">
        <f t="shared" si="16"/>
        <v>1150952.4653769452</v>
      </c>
      <c r="N42" s="99">
        <v>0</v>
      </c>
      <c r="O42" s="99">
        <f t="shared" si="17"/>
        <v>1150952.4653769452</v>
      </c>
    </row>
    <row r="43" spans="1:15" ht="13.5" customHeight="1" x14ac:dyDescent="0.25">
      <c r="A43" s="105">
        <v>51001</v>
      </c>
      <c r="B43" s="105" t="s">
        <v>235</v>
      </c>
      <c r="C43" s="102">
        <v>2907</v>
      </c>
      <c r="D43" s="104">
        <v>0.5</v>
      </c>
      <c r="E43" s="101">
        <f t="shared" si="9"/>
        <v>15</v>
      </c>
      <c r="F43" s="101">
        <f t="shared" si="10"/>
        <v>193.8</v>
      </c>
      <c r="G43" s="101">
        <f t="shared" si="11"/>
        <v>3.3333333333333333E-2</v>
      </c>
      <c r="H43" s="101">
        <f t="shared" si="12"/>
        <v>193.83333333333334</v>
      </c>
      <c r="I43" s="99">
        <f t="shared" si="13"/>
        <v>63380.2284</v>
      </c>
      <c r="J43" s="99">
        <f t="shared" si="14"/>
        <v>12285200.938200001</v>
      </c>
      <c r="K43" s="99">
        <f t="shared" si="15"/>
        <v>3890723.1371279401</v>
      </c>
      <c r="L43" s="99">
        <v>0</v>
      </c>
      <c r="M43" s="99">
        <f t="shared" si="16"/>
        <v>16175924.07532794</v>
      </c>
      <c r="N43" s="99">
        <v>0</v>
      </c>
      <c r="O43" s="99">
        <f t="shared" si="17"/>
        <v>16175924.07532794</v>
      </c>
    </row>
    <row r="44" spans="1:15" ht="13.5" customHeight="1" x14ac:dyDescent="0.25">
      <c r="A44" s="105">
        <v>64002</v>
      </c>
      <c r="B44" s="105" t="s">
        <v>236</v>
      </c>
      <c r="C44" s="102">
        <v>362</v>
      </c>
      <c r="D44" s="104">
        <v>0</v>
      </c>
      <c r="E44" s="101">
        <f t="shared" si="9"/>
        <v>13.215</v>
      </c>
      <c r="F44" s="101">
        <f t="shared" si="10"/>
        <v>27.393113885735907</v>
      </c>
      <c r="G44" s="101">
        <f t="shared" si="11"/>
        <v>0</v>
      </c>
      <c r="H44" s="101">
        <f t="shared" si="12"/>
        <v>27.393113885735907</v>
      </c>
      <c r="I44" s="99">
        <f t="shared" si="13"/>
        <v>63380.2284</v>
      </c>
      <c r="J44" s="99">
        <f t="shared" si="14"/>
        <v>1736181.8146651534</v>
      </c>
      <c r="K44" s="99">
        <f t="shared" si="15"/>
        <v>549848.78070445405</v>
      </c>
      <c r="L44" s="99">
        <v>0</v>
      </c>
      <c r="M44" s="99">
        <f t="shared" si="16"/>
        <v>2286030.5953696072</v>
      </c>
      <c r="N44" s="99">
        <v>0</v>
      </c>
      <c r="O44" s="99">
        <f t="shared" si="17"/>
        <v>2286030.5953696072</v>
      </c>
    </row>
    <row r="45" spans="1:15" ht="13.5" customHeight="1" x14ac:dyDescent="0.25">
      <c r="A45" s="105">
        <v>20001</v>
      </c>
      <c r="B45" s="105" t="s">
        <v>237</v>
      </c>
      <c r="C45" s="102">
        <v>345.01</v>
      </c>
      <c r="D45" s="104">
        <v>0</v>
      </c>
      <c r="E45" s="101">
        <f t="shared" si="9"/>
        <v>13.087574999999999</v>
      </c>
      <c r="F45" s="101">
        <f t="shared" si="10"/>
        <v>26.361644536898549</v>
      </c>
      <c r="G45" s="101">
        <f t="shared" si="11"/>
        <v>0</v>
      </c>
      <c r="H45" s="101">
        <f t="shared" si="12"/>
        <v>26.361644536898549</v>
      </c>
      <c r="I45" s="99">
        <f t="shared" si="13"/>
        <v>63380.2284</v>
      </c>
      <c r="J45" s="99">
        <f t="shared" si="14"/>
        <v>1670807.0517482422</v>
      </c>
      <c r="K45" s="99">
        <f t="shared" si="15"/>
        <v>529144.59328866831</v>
      </c>
      <c r="L45" s="99">
        <v>0</v>
      </c>
      <c r="M45" s="99">
        <f t="shared" si="16"/>
        <v>2199951.6450369107</v>
      </c>
      <c r="N45" s="99">
        <v>0</v>
      </c>
      <c r="O45" s="99">
        <f t="shared" si="17"/>
        <v>2199951.6450369107</v>
      </c>
    </row>
    <row r="46" spans="1:15" ht="13.5" customHeight="1" x14ac:dyDescent="0.25">
      <c r="A46" s="105">
        <v>23001</v>
      </c>
      <c r="B46" s="105" t="s">
        <v>238</v>
      </c>
      <c r="C46" s="102">
        <v>159.13999999999999</v>
      </c>
      <c r="D46" s="104">
        <v>0.25</v>
      </c>
      <c r="E46" s="101">
        <f t="shared" si="9"/>
        <v>12</v>
      </c>
      <c r="F46" s="101">
        <f t="shared" si="10"/>
        <v>13.261666666666665</v>
      </c>
      <c r="G46" s="101">
        <f t="shared" si="11"/>
        <v>2.0833333333333332E-2</v>
      </c>
      <c r="H46" s="101">
        <f t="shared" si="12"/>
        <v>13.282499999999999</v>
      </c>
      <c r="I46" s="99">
        <f t="shared" si="13"/>
        <v>63380.2284</v>
      </c>
      <c r="J46" s="99">
        <f t="shared" si="14"/>
        <v>841847.88372299995</v>
      </c>
      <c r="K46" s="99">
        <f t="shared" si="15"/>
        <v>266613.22477507405</v>
      </c>
      <c r="L46" s="99">
        <v>0</v>
      </c>
      <c r="M46" s="99">
        <f t="shared" si="16"/>
        <v>1108461.1084980741</v>
      </c>
      <c r="N46" s="99">
        <v>0</v>
      </c>
      <c r="O46" s="99">
        <f t="shared" si="17"/>
        <v>1108461.1084980741</v>
      </c>
    </row>
    <row r="47" spans="1:15" ht="13.5" customHeight="1" x14ac:dyDescent="0.25">
      <c r="A47" s="105">
        <v>22005</v>
      </c>
      <c r="B47" s="105" t="s">
        <v>239</v>
      </c>
      <c r="C47" s="102">
        <v>140</v>
      </c>
      <c r="D47" s="104">
        <v>0.5</v>
      </c>
      <c r="E47" s="101">
        <f t="shared" si="9"/>
        <v>12</v>
      </c>
      <c r="F47" s="101">
        <f t="shared" si="10"/>
        <v>11.666666666666666</v>
      </c>
      <c r="G47" s="101">
        <f t="shared" si="11"/>
        <v>4.1666666666666664E-2</v>
      </c>
      <c r="H47" s="101">
        <f t="shared" si="12"/>
        <v>11.708333333333332</v>
      </c>
      <c r="I47" s="99">
        <f t="shared" si="13"/>
        <v>63380.2284</v>
      </c>
      <c r="J47" s="99">
        <f t="shared" si="14"/>
        <v>742076.84084999992</v>
      </c>
      <c r="K47" s="99">
        <f t="shared" si="15"/>
        <v>235015.73549719495</v>
      </c>
      <c r="L47" s="99">
        <v>0</v>
      </c>
      <c r="M47" s="99">
        <f t="shared" si="16"/>
        <v>977092.57634719484</v>
      </c>
      <c r="N47" s="99">
        <v>0</v>
      </c>
      <c r="O47" s="99">
        <f t="shared" si="17"/>
        <v>977092.57634719484</v>
      </c>
    </row>
    <row r="48" spans="1:15" ht="13.5" customHeight="1" x14ac:dyDescent="0.25">
      <c r="A48" s="105">
        <v>16002</v>
      </c>
      <c r="B48" s="105" t="s">
        <v>240</v>
      </c>
      <c r="C48" s="102">
        <v>13</v>
      </c>
      <c r="D48" s="104">
        <v>0</v>
      </c>
      <c r="E48" s="101">
        <f t="shared" si="9"/>
        <v>12</v>
      </c>
      <c r="F48" s="101">
        <f t="shared" si="10"/>
        <v>1.0833333333333333</v>
      </c>
      <c r="G48" s="101">
        <f t="shared" si="11"/>
        <v>0</v>
      </c>
      <c r="H48" s="101">
        <f t="shared" si="12"/>
        <v>1.0833333333333333</v>
      </c>
      <c r="I48" s="99">
        <f t="shared" si="13"/>
        <v>63380.2284</v>
      </c>
      <c r="J48" s="99">
        <f t="shared" si="14"/>
        <v>68661.914099999995</v>
      </c>
      <c r="K48" s="99">
        <f t="shared" si="15"/>
        <v>21745.228195469997</v>
      </c>
      <c r="L48" s="99">
        <v>0</v>
      </c>
      <c r="M48" s="99">
        <f t="shared" si="16"/>
        <v>90407.142295469996</v>
      </c>
      <c r="N48" s="99">
        <v>0</v>
      </c>
      <c r="O48" s="99">
        <f t="shared" si="17"/>
        <v>90407.142295469996</v>
      </c>
    </row>
    <row r="49" spans="1:15" ht="13.5" customHeight="1" x14ac:dyDescent="0.25">
      <c r="A49" s="105">
        <v>61007</v>
      </c>
      <c r="B49" s="105" t="s">
        <v>241</v>
      </c>
      <c r="C49" s="102">
        <v>687</v>
      </c>
      <c r="D49" s="104">
        <v>0.75</v>
      </c>
      <c r="E49" s="101">
        <f t="shared" si="9"/>
        <v>15</v>
      </c>
      <c r="F49" s="101">
        <f t="shared" si="10"/>
        <v>45.8</v>
      </c>
      <c r="G49" s="101">
        <f t="shared" si="11"/>
        <v>0.05</v>
      </c>
      <c r="H49" s="101">
        <f t="shared" si="12"/>
        <v>45.849999999999994</v>
      </c>
      <c r="I49" s="99">
        <f t="shared" si="13"/>
        <v>63380.2284</v>
      </c>
      <c r="J49" s="99">
        <f t="shared" si="14"/>
        <v>2905983.4721399997</v>
      </c>
      <c r="K49" s="99">
        <f t="shared" si="15"/>
        <v>920324.96562673792</v>
      </c>
      <c r="L49" s="99">
        <v>0</v>
      </c>
      <c r="M49" s="99">
        <f t="shared" si="16"/>
        <v>3826308.4377667378</v>
      </c>
      <c r="N49" s="99">
        <v>0</v>
      </c>
      <c r="O49" s="99">
        <f t="shared" si="17"/>
        <v>3826308.4377667378</v>
      </c>
    </row>
    <row r="50" spans="1:15" ht="13.5" customHeight="1" x14ac:dyDescent="0.25">
      <c r="A50" s="105">
        <v>5003</v>
      </c>
      <c r="B50" s="105" t="s">
        <v>242</v>
      </c>
      <c r="C50" s="102">
        <v>322</v>
      </c>
      <c r="D50" s="104">
        <v>9.5</v>
      </c>
      <c r="E50" s="101">
        <f t="shared" si="9"/>
        <v>12.914999999999999</v>
      </c>
      <c r="F50" s="101">
        <f t="shared" si="10"/>
        <v>24.932249322493227</v>
      </c>
      <c r="G50" s="101">
        <f t="shared" si="11"/>
        <v>0.73557878435927226</v>
      </c>
      <c r="H50" s="101">
        <f t="shared" si="12"/>
        <v>25.6678281068525</v>
      </c>
      <c r="I50" s="99">
        <f t="shared" si="13"/>
        <v>63380.2284</v>
      </c>
      <c r="J50" s="99">
        <f t="shared" si="14"/>
        <v>1626832.807944251</v>
      </c>
      <c r="K50" s="99">
        <f t="shared" si="15"/>
        <v>515217.95027594425</v>
      </c>
      <c r="L50" s="99">
        <v>0</v>
      </c>
      <c r="M50" s="99">
        <f t="shared" si="16"/>
        <v>2142050.7582201953</v>
      </c>
      <c r="N50" s="99">
        <v>0</v>
      </c>
      <c r="O50" s="99">
        <f t="shared" si="17"/>
        <v>2142050.7582201953</v>
      </c>
    </row>
    <row r="51" spans="1:15" ht="13.5" customHeight="1" x14ac:dyDescent="0.25">
      <c r="A51" s="105">
        <v>28002</v>
      </c>
      <c r="B51" s="105" t="s">
        <v>243</v>
      </c>
      <c r="C51" s="102">
        <v>261</v>
      </c>
      <c r="D51" s="104">
        <v>1.25</v>
      </c>
      <c r="E51" s="101">
        <f t="shared" si="9"/>
        <v>12.4575</v>
      </c>
      <c r="F51" s="101">
        <f t="shared" si="10"/>
        <v>20.951234196267311</v>
      </c>
      <c r="G51" s="101">
        <f t="shared" si="11"/>
        <v>0.10034115994380896</v>
      </c>
      <c r="H51" s="101">
        <f t="shared" si="12"/>
        <v>21.051575356211121</v>
      </c>
      <c r="I51" s="99">
        <f t="shared" si="13"/>
        <v>63380.2284</v>
      </c>
      <c r="J51" s="99">
        <f t="shared" si="14"/>
        <v>1334253.6542564721</v>
      </c>
      <c r="K51" s="99">
        <f t="shared" si="15"/>
        <v>422558.1323030247</v>
      </c>
      <c r="L51" s="99">
        <v>0</v>
      </c>
      <c r="M51" s="99">
        <f t="shared" si="16"/>
        <v>1756811.7865594968</v>
      </c>
      <c r="N51" s="99">
        <v>0</v>
      </c>
      <c r="O51" s="99">
        <f t="shared" si="17"/>
        <v>1756811.7865594968</v>
      </c>
    </row>
    <row r="52" spans="1:15" ht="13.5" customHeight="1" x14ac:dyDescent="0.25">
      <c r="A52" s="105">
        <v>17001</v>
      </c>
      <c r="B52" s="105" t="s">
        <v>244</v>
      </c>
      <c r="C52" s="102">
        <v>269.8</v>
      </c>
      <c r="D52" s="104">
        <v>0.5</v>
      </c>
      <c r="E52" s="101">
        <f t="shared" si="9"/>
        <v>12.5235</v>
      </c>
      <c r="F52" s="101">
        <f t="shared" si="10"/>
        <v>21.543498223340119</v>
      </c>
      <c r="G52" s="101">
        <f t="shared" si="11"/>
        <v>3.9924941110711862E-2</v>
      </c>
      <c r="H52" s="101">
        <f t="shared" si="12"/>
        <v>21.583423164450831</v>
      </c>
      <c r="I52" s="99">
        <f t="shared" si="13"/>
        <v>63380.2284</v>
      </c>
      <c r="J52" s="99">
        <f t="shared" si="14"/>
        <v>1367962.2898167444</v>
      </c>
      <c r="K52" s="99">
        <f t="shared" si="15"/>
        <v>433233.65718496294</v>
      </c>
      <c r="L52" s="99">
        <v>0</v>
      </c>
      <c r="M52" s="99">
        <f t="shared" si="16"/>
        <v>1801195.9470017073</v>
      </c>
      <c r="N52" s="99">
        <v>0</v>
      </c>
      <c r="O52" s="99">
        <f t="shared" si="17"/>
        <v>1801195.9470017073</v>
      </c>
    </row>
    <row r="53" spans="1:15" ht="13.5" customHeight="1" x14ac:dyDescent="0.25">
      <c r="A53" s="105">
        <v>44001</v>
      </c>
      <c r="B53" s="105" t="s">
        <v>245</v>
      </c>
      <c r="C53" s="102">
        <v>156.97999999999999</v>
      </c>
      <c r="D53" s="104">
        <v>0</v>
      </c>
      <c r="E53" s="101">
        <f t="shared" si="9"/>
        <v>12</v>
      </c>
      <c r="F53" s="101">
        <f t="shared" si="10"/>
        <v>13.081666666666665</v>
      </c>
      <c r="G53" s="101">
        <f t="shared" si="11"/>
        <v>0</v>
      </c>
      <c r="H53" s="101">
        <f t="shared" si="12"/>
        <v>13.081666666666665</v>
      </c>
      <c r="I53" s="99">
        <f t="shared" si="13"/>
        <v>63380.2284</v>
      </c>
      <c r="J53" s="99">
        <f t="shared" si="14"/>
        <v>829119.02118599985</v>
      </c>
      <c r="K53" s="99">
        <f t="shared" si="15"/>
        <v>262581.99400960613</v>
      </c>
      <c r="L53" s="99">
        <v>0</v>
      </c>
      <c r="M53" s="99">
        <f t="shared" si="16"/>
        <v>1091701.015195606</v>
      </c>
      <c r="N53" s="99">
        <v>0</v>
      </c>
      <c r="O53" s="99">
        <f t="shared" si="17"/>
        <v>1091701.015195606</v>
      </c>
    </row>
    <row r="54" spans="1:15" ht="13.5" customHeight="1" x14ac:dyDescent="0.25">
      <c r="A54" s="105">
        <v>46002</v>
      </c>
      <c r="B54" s="105" t="s">
        <v>246</v>
      </c>
      <c r="C54" s="102">
        <v>177</v>
      </c>
      <c r="D54" s="104">
        <v>0</v>
      </c>
      <c r="E54" s="101">
        <f t="shared" si="9"/>
        <v>12</v>
      </c>
      <c r="F54" s="101">
        <f t="shared" si="10"/>
        <v>14.75</v>
      </c>
      <c r="G54" s="101">
        <f t="shared" si="11"/>
        <v>0</v>
      </c>
      <c r="H54" s="101">
        <f t="shared" si="12"/>
        <v>14.75</v>
      </c>
      <c r="I54" s="99">
        <f t="shared" si="13"/>
        <v>63380.2284</v>
      </c>
      <c r="J54" s="99">
        <f t="shared" si="14"/>
        <v>934858.3689</v>
      </c>
      <c r="K54" s="99">
        <f t="shared" si="15"/>
        <v>296069.64543062996</v>
      </c>
      <c r="L54" s="99">
        <v>0</v>
      </c>
      <c r="M54" s="99">
        <f t="shared" si="16"/>
        <v>1230928.01433063</v>
      </c>
      <c r="N54" s="99">
        <v>0</v>
      </c>
      <c r="O54" s="99">
        <f t="shared" si="17"/>
        <v>1230928.01433063</v>
      </c>
    </row>
    <row r="55" spans="1:15" ht="13.5" customHeight="1" x14ac:dyDescent="0.25">
      <c r="A55" s="105">
        <v>24004</v>
      </c>
      <c r="B55" s="105" t="s">
        <v>374</v>
      </c>
      <c r="C55" s="102">
        <v>311</v>
      </c>
      <c r="D55" s="104">
        <v>4.25</v>
      </c>
      <c r="E55" s="101">
        <f t="shared" si="9"/>
        <v>12.8325</v>
      </c>
      <c r="F55" s="101">
        <f t="shared" si="10"/>
        <v>24.235339957140074</v>
      </c>
      <c r="G55" s="101">
        <f t="shared" si="11"/>
        <v>0.33119033703487238</v>
      </c>
      <c r="H55" s="101">
        <f t="shared" si="12"/>
        <v>24.566530294174946</v>
      </c>
      <c r="I55" s="99">
        <f t="shared" si="13"/>
        <v>63380.2284</v>
      </c>
      <c r="J55" s="99">
        <f t="shared" si="14"/>
        <v>1557032.3010403272</v>
      </c>
      <c r="K55" s="99">
        <f t="shared" si="15"/>
        <v>493112.12973947159</v>
      </c>
      <c r="L55" s="99">
        <v>0</v>
      </c>
      <c r="M55" s="99">
        <f t="shared" si="16"/>
        <v>2050144.4307797989</v>
      </c>
      <c r="N55" s="99">
        <v>0</v>
      </c>
      <c r="O55" s="99">
        <f t="shared" si="17"/>
        <v>2050144.4307797989</v>
      </c>
    </row>
    <row r="56" spans="1:15" ht="13.5" customHeight="1" x14ac:dyDescent="0.25">
      <c r="A56" s="105">
        <v>50003</v>
      </c>
      <c r="B56" s="105" t="s">
        <v>248</v>
      </c>
      <c r="C56" s="102">
        <v>690.28</v>
      </c>
      <c r="D56" s="104">
        <v>12.75</v>
      </c>
      <c r="E56" s="101">
        <f t="shared" si="9"/>
        <v>15</v>
      </c>
      <c r="F56" s="101">
        <f t="shared" si="10"/>
        <v>46.018666666666668</v>
      </c>
      <c r="G56" s="101">
        <f t="shared" si="11"/>
        <v>0.85</v>
      </c>
      <c r="H56" s="101">
        <f t="shared" si="12"/>
        <v>46.86866666666667</v>
      </c>
      <c r="I56" s="99">
        <f t="shared" si="13"/>
        <v>63380.2284</v>
      </c>
      <c r="J56" s="99">
        <f t="shared" si="14"/>
        <v>2970546.7981368001</v>
      </c>
      <c r="K56" s="99">
        <f t="shared" si="15"/>
        <v>940772.17096992454</v>
      </c>
      <c r="L56" s="99">
        <v>0</v>
      </c>
      <c r="M56" s="99">
        <f t="shared" si="16"/>
        <v>3911318.9691067245</v>
      </c>
      <c r="N56" s="99">
        <v>0</v>
      </c>
      <c r="O56" s="99">
        <f t="shared" si="17"/>
        <v>3911318.9691067245</v>
      </c>
    </row>
    <row r="57" spans="1:15" ht="13.5" customHeight="1" x14ac:dyDescent="0.25">
      <c r="A57" s="105">
        <v>14001</v>
      </c>
      <c r="B57" s="105" t="s">
        <v>249</v>
      </c>
      <c r="C57" s="102">
        <v>257</v>
      </c>
      <c r="D57" s="104">
        <v>0</v>
      </c>
      <c r="E57" s="101">
        <f t="shared" si="9"/>
        <v>12.4275</v>
      </c>
      <c r="F57" s="101">
        <f t="shared" si="10"/>
        <v>20.679943673305171</v>
      </c>
      <c r="G57" s="101">
        <f t="shared" si="11"/>
        <v>0</v>
      </c>
      <c r="H57" s="101">
        <f t="shared" si="12"/>
        <v>20.679943673305171</v>
      </c>
      <c r="I57" s="99">
        <f t="shared" si="13"/>
        <v>63380.2284</v>
      </c>
      <c r="J57" s="99">
        <f t="shared" si="14"/>
        <v>1310699.5533132167</v>
      </c>
      <c r="K57" s="99">
        <f t="shared" si="15"/>
        <v>415098.5485342957</v>
      </c>
      <c r="L57" s="99">
        <v>0</v>
      </c>
      <c r="M57" s="99">
        <f t="shared" si="16"/>
        <v>1725798.1018475124</v>
      </c>
      <c r="N57" s="99">
        <v>0</v>
      </c>
      <c r="O57" s="99">
        <f t="shared" si="17"/>
        <v>1725798.1018475124</v>
      </c>
    </row>
    <row r="58" spans="1:15" ht="13.5" customHeight="1" x14ac:dyDescent="0.25">
      <c r="A58" s="105">
        <v>6002</v>
      </c>
      <c r="B58" s="105" t="s">
        <v>250</v>
      </c>
      <c r="C58" s="102">
        <v>163</v>
      </c>
      <c r="D58" s="104">
        <v>0.25</v>
      </c>
      <c r="E58" s="101">
        <f t="shared" si="9"/>
        <v>12</v>
      </c>
      <c r="F58" s="101">
        <f t="shared" si="10"/>
        <v>13.583333333333334</v>
      </c>
      <c r="G58" s="101">
        <f t="shared" si="11"/>
        <v>2.0833333333333332E-2</v>
      </c>
      <c r="H58" s="101">
        <f t="shared" si="12"/>
        <v>13.604166666666668</v>
      </c>
      <c r="I58" s="99">
        <f t="shared" si="13"/>
        <v>63380.2284</v>
      </c>
      <c r="J58" s="99">
        <f t="shared" si="14"/>
        <v>862235.1905250001</v>
      </c>
      <c r="K58" s="99">
        <f t="shared" si="15"/>
        <v>273069.88483926753</v>
      </c>
      <c r="L58" s="99">
        <v>0</v>
      </c>
      <c r="M58" s="99">
        <f t="shared" si="16"/>
        <v>1135305.0753642677</v>
      </c>
      <c r="N58" s="99">
        <v>0</v>
      </c>
      <c r="O58" s="99">
        <f t="shared" si="17"/>
        <v>1135305.0753642677</v>
      </c>
    </row>
    <row r="59" spans="1:15" ht="13.5" customHeight="1" x14ac:dyDescent="0.25">
      <c r="A59" s="105">
        <v>33001</v>
      </c>
      <c r="B59" s="105" t="s">
        <v>251</v>
      </c>
      <c r="C59" s="102">
        <v>320.02999999999997</v>
      </c>
      <c r="D59" s="104">
        <v>9.5</v>
      </c>
      <c r="E59" s="101">
        <f t="shared" si="9"/>
        <v>12.900224999999999</v>
      </c>
      <c r="F59" s="101">
        <f t="shared" si="10"/>
        <v>24.808094432461449</v>
      </c>
      <c r="G59" s="101">
        <f t="shared" si="11"/>
        <v>0.73642126397020213</v>
      </c>
      <c r="H59" s="101">
        <f t="shared" si="12"/>
        <v>25.544515696431652</v>
      </c>
      <c r="I59" s="99">
        <f t="shared" si="13"/>
        <v>63380.2284</v>
      </c>
      <c r="J59" s="99">
        <f t="shared" si="14"/>
        <v>1619017.2392072233</v>
      </c>
      <c r="K59" s="99">
        <f t="shared" si="15"/>
        <v>512742.75965692761</v>
      </c>
      <c r="L59" s="99">
        <v>0</v>
      </c>
      <c r="M59" s="99">
        <f t="shared" si="16"/>
        <v>2131759.9988641511</v>
      </c>
      <c r="N59" s="99">
        <v>0</v>
      </c>
      <c r="O59" s="99">
        <f t="shared" si="17"/>
        <v>2131759.9988641511</v>
      </c>
    </row>
    <row r="60" spans="1:15" ht="13.5" customHeight="1" x14ac:dyDescent="0.25">
      <c r="A60" s="105">
        <v>49004</v>
      </c>
      <c r="B60" s="105" t="s">
        <v>252</v>
      </c>
      <c r="C60" s="102">
        <v>480.43</v>
      </c>
      <c r="D60" s="104">
        <v>1.25</v>
      </c>
      <c r="E60" s="101">
        <f t="shared" si="9"/>
        <v>14.103225</v>
      </c>
      <c r="F60" s="101">
        <f t="shared" si="10"/>
        <v>34.06525812358521</v>
      </c>
      <c r="G60" s="101">
        <f t="shared" si="11"/>
        <v>8.863221000870368E-2</v>
      </c>
      <c r="H60" s="101">
        <f t="shared" si="12"/>
        <v>34.153890333593914</v>
      </c>
      <c r="I60" s="99">
        <f t="shared" si="13"/>
        <v>63380.2284</v>
      </c>
      <c r="J60" s="99">
        <f t="shared" si="14"/>
        <v>2164681.3700917345</v>
      </c>
      <c r="K60" s="99">
        <f t="shared" si="15"/>
        <v>685554.58990805224</v>
      </c>
      <c r="L60" s="99">
        <v>0</v>
      </c>
      <c r="M60" s="99">
        <f t="shared" si="16"/>
        <v>2850235.9599997867</v>
      </c>
      <c r="N60" s="99">
        <v>0</v>
      </c>
      <c r="O60" s="99">
        <f t="shared" si="17"/>
        <v>2850235.9599997867</v>
      </c>
    </row>
    <row r="61" spans="1:15" ht="13.5" customHeight="1" x14ac:dyDescent="0.25">
      <c r="A61" s="105">
        <v>63001</v>
      </c>
      <c r="B61" s="105" t="s">
        <v>253</v>
      </c>
      <c r="C61" s="102">
        <v>293</v>
      </c>
      <c r="D61" s="104">
        <v>0</v>
      </c>
      <c r="E61" s="101">
        <f t="shared" si="9"/>
        <v>12.6975</v>
      </c>
      <c r="F61" s="101">
        <f t="shared" si="10"/>
        <v>23.07540854498917</v>
      </c>
      <c r="G61" s="101">
        <f t="shared" si="11"/>
        <v>0</v>
      </c>
      <c r="H61" s="101">
        <f t="shared" si="12"/>
        <v>23.07540854498917</v>
      </c>
      <c r="I61" s="99">
        <f t="shared" si="13"/>
        <v>63380.2284</v>
      </c>
      <c r="J61" s="99">
        <f t="shared" si="14"/>
        <v>1462524.6640047252</v>
      </c>
      <c r="K61" s="99">
        <f t="shared" si="15"/>
        <v>463181.56109029643</v>
      </c>
      <c r="L61" s="99">
        <v>0</v>
      </c>
      <c r="M61" s="99">
        <f t="shared" si="16"/>
        <v>1925706.2250950215</v>
      </c>
      <c r="N61" s="99">
        <v>0</v>
      </c>
      <c r="O61" s="99">
        <f t="shared" si="17"/>
        <v>1925706.2250950215</v>
      </c>
    </row>
    <row r="62" spans="1:15" ht="13.5" customHeight="1" x14ac:dyDescent="0.25">
      <c r="A62" s="105">
        <v>53001</v>
      </c>
      <c r="B62" s="105" t="s">
        <v>254</v>
      </c>
      <c r="C62" s="102">
        <v>239.04</v>
      </c>
      <c r="D62" s="104">
        <v>0.25</v>
      </c>
      <c r="E62" s="101">
        <f t="shared" si="9"/>
        <v>12.2928</v>
      </c>
      <c r="F62" s="101">
        <f t="shared" si="10"/>
        <v>19.445529090199141</v>
      </c>
      <c r="G62" s="101">
        <f t="shared" si="11"/>
        <v>2.0337107900559679E-2</v>
      </c>
      <c r="H62" s="101">
        <f t="shared" si="12"/>
        <v>19.4658661980997</v>
      </c>
      <c r="I62" s="99">
        <f t="shared" si="13"/>
        <v>63380.2284</v>
      </c>
      <c r="J62" s="99">
        <f t="shared" si="14"/>
        <v>1233751.0456393987</v>
      </c>
      <c r="K62" s="99">
        <f t="shared" si="15"/>
        <v>390728.95615399757</v>
      </c>
      <c r="L62" s="99">
        <v>0</v>
      </c>
      <c r="M62" s="99">
        <f t="shared" si="16"/>
        <v>1624480.0017933962</v>
      </c>
      <c r="N62" s="99">
        <v>0</v>
      </c>
      <c r="O62" s="99">
        <f t="shared" si="17"/>
        <v>1624480.0017933962</v>
      </c>
    </row>
    <row r="63" spans="1:15" ht="12.75" customHeight="1" x14ac:dyDescent="0.25">
      <c r="A63" s="105">
        <v>26004</v>
      </c>
      <c r="B63" s="105" t="s">
        <v>255</v>
      </c>
      <c r="C63" s="102">
        <v>373.6</v>
      </c>
      <c r="D63" s="104">
        <v>0</v>
      </c>
      <c r="E63" s="101">
        <f t="shared" si="9"/>
        <v>13.302</v>
      </c>
      <c r="F63" s="101">
        <f t="shared" si="10"/>
        <v>28.086002104946626</v>
      </c>
      <c r="G63" s="101">
        <f t="shared" si="11"/>
        <v>0</v>
      </c>
      <c r="H63" s="101">
        <f t="shared" si="12"/>
        <v>28.086002104946626</v>
      </c>
      <c r="I63" s="99">
        <f t="shared" si="13"/>
        <v>63380.2284</v>
      </c>
      <c r="J63" s="99">
        <f t="shared" si="14"/>
        <v>1780097.2282543979</v>
      </c>
      <c r="K63" s="99">
        <f t="shared" si="15"/>
        <v>563756.7921881678</v>
      </c>
      <c r="L63" s="99">
        <v>0</v>
      </c>
      <c r="M63" s="99">
        <f t="shared" si="16"/>
        <v>2343854.0204425659</v>
      </c>
      <c r="N63" s="99">
        <v>0</v>
      </c>
      <c r="O63" s="99">
        <f t="shared" si="17"/>
        <v>2343854.0204425659</v>
      </c>
    </row>
    <row r="64" spans="1:15" ht="13.5" customHeight="1" x14ac:dyDescent="0.25">
      <c r="A64" s="105">
        <v>6006</v>
      </c>
      <c r="B64" s="105" t="s">
        <v>256</v>
      </c>
      <c r="C64" s="102">
        <v>578.87</v>
      </c>
      <c r="D64" s="104">
        <v>0</v>
      </c>
      <c r="E64" s="101">
        <f t="shared" si="9"/>
        <v>14.841525000000001</v>
      </c>
      <c r="F64" s="101">
        <f t="shared" si="10"/>
        <v>39.003404299760298</v>
      </c>
      <c r="G64" s="101">
        <f t="shared" si="11"/>
        <v>0</v>
      </c>
      <c r="H64" s="101">
        <f t="shared" si="12"/>
        <v>39.003404299760298</v>
      </c>
      <c r="I64" s="99">
        <f t="shared" si="13"/>
        <v>63380.2284</v>
      </c>
      <c r="J64" s="99">
        <f t="shared" si="14"/>
        <v>2472044.6728963498</v>
      </c>
      <c r="K64" s="99">
        <f t="shared" si="15"/>
        <v>782896.54790627398</v>
      </c>
      <c r="L64" s="99">
        <v>0</v>
      </c>
      <c r="M64" s="99">
        <f t="shared" si="16"/>
        <v>3254941.2208026238</v>
      </c>
      <c r="N64" s="99">
        <v>0</v>
      </c>
      <c r="O64" s="99">
        <f t="shared" si="17"/>
        <v>3254941.2208026238</v>
      </c>
    </row>
    <row r="65" spans="1:15" ht="13.5" customHeight="1" x14ac:dyDescent="0.25">
      <c r="A65" s="105">
        <v>27001</v>
      </c>
      <c r="B65" s="105" t="s">
        <v>257</v>
      </c>
      <c r="C65" s="102">
        <v>310</v>
      </c>
      <c r="D65" s="104">
        <v>0</v>
      </c>
      <c r="E65" s="101">
        <f t="shared" si="9"/>
        <v>12.824999999999999</v>
      </c>
      <c r="F65" s="101">
        <f t="shared" si="10"/>
        <v>24.171539961013647</v>
      </c>
      <c r="G65" s="101">
        <f t="shared" si="11"/>
        <v>0</v>
      </c>
      <c r="H65" s="101">
        <f t="shared" si="12"/>
        <v>24.171539961013647</v>
      </c>
      <c r="I65" s="99">
        <f t="shared" si="13"/>
        <v>63380.2284</v>
      </c>
      <c r="J65" s="99">
        <f t="shared" si="14"/>
        <v>1531997.723508772</v>
      </c>
      <c r="K65" s="99">
        <f t="shared" si="15"/>
        <v>485183.67903522804</v>
      </c>
      <c r="L65" s="99">
        <v>0</v>
      </c>
      <c r="M65" s="99">
        <f t="shared" si="16"/>
        <v>2017181.402544</v>
      </c>
      <c r="N65" s="99">
        <v>0</v>
      </c>
      <c r="O65" s="99">
        <f t="shared" si="17"/>
        <v>2017181.402544</v>
      </c>
    </row>
    <row r="66" spans="1:15" ht="13.5" customHeight="1" x14ac:dyDescent="0.25">
      <c r="A66" s="105">
        <v>28003</v>
      </c>
      <c r="B66" s="105" t="s">
        <v>258</v>
      </c>
      <c r="C66" s="102">
        <v>810</v>
      </c>
      <c r="D66" s="104">
        <v>2.5</v>
      </c>
      <c r="E66" s="101">
        <f t="shared" si="9"/>
        <v>15</v>
      </c>
      <c r="F66" s="101">
        <f t="shared" si="10"/>
        <v>54</v>
      </c>
      <c r="G66" s="101">
        <f t="shared" si="11"/>
        <v>0.16666666666666666</v>
      </c>
      <c r="H66" s="101">
        <f t="shared" si="12"/>
        <v>54.166666666666664</v>
      </c>
      <c r="I66" s="99">
        <f t="shared" si="13"/>
        <v>63380.2284</v>
      </c>
      <c r="J66" s="99">
        <f t="shared" si="14"/>
        <v>3433095.7050000001</v>
      </c>
      <c r="K66" s="99">
        <f t="shared" si="15"/>
        <v>1087261.4097734999</v>
      </c>
      <c r="L66" s="99">
        <v>0</v>
      </c>
      <c r="M66" s="99">
        <f t="shared" si="16"/>
        <v>4520357.1147734998</v>
      </c>
      <c r="N66" s="99">
        <v>0</v>
      </c>
      <c r="O66" s="99">
        <f t="shared" si="17"/>
        <v>4520357.1147734998</v>
      </c>
    </row>
    <row r="67" spans="1:15" ht="13.5" customHeight="1" x14ac:dyDescent="0.25">
      <c r="A67" s="105">
        <v>30001</v>
      </c>
      <c r="B67" s="105" t="s">
        <v>259</v>
      </c>
      <c r="C67" s="102">
        <v>402</v>
      </c>
      <c r="D67" s="104">
        <v>3.25</v>
      </c>
      <c r="E67" s="101">
        <f t="shared" si="9"/>
        <v>13.515000000000001</v>
      </c>
      <c r="F67" s="101">
        <f t="shared" si="10"/>
        <v>29.744728079911209</v>
      </c>
      <c r="G67" s="101">
        <f t="shared" si="11"/>
        <v>0.24047354790972991</v>
      </c>
      <c r="H67" s="101">
        <f t="shared" si="12"/>
        <v>29.985201627820938</v>
      </c>
      <c r="I67" s="99">
        <f t="shared" si="13"/>
        <v>63380.2284</v>
      </c>
      <c r="J67" s="99">
        <f t="shared" si="14"/>
        <v>1900468.9277913428</v>
      </c>
      <c r="K67" s="99">
        <f t="shared" si="15"/>
        <v>601878.50943151827</v>
      </c>
      <c r="L67" s="99">
        <v>0</v>
      </c>
      <c r="M67" s="99">
        <f t="shared" si="16"/>
        <v>2502347.4372228612</v>
      </c>
      <c r="N67" s="99">
        <v>0</v>
      </c>
      <c r="O67" s="99">
        <f t="shared" si="17"/>
        <v>2502347.4372228612</v>
      </c>
    </row>
    <row r="68" spans="1:15" ht="13.5" customHeight="1" x14ac:dyDescent="0.25">
      <c r="A68" s="105">
        <v>31001</v>
      </c>
      <c r="B68" s="105" t="s">
        <v>260</v>
      </c>
      <c r="C68" s="102">
        <v>200</v>
      </c>
      <c r="D68" s="104">
        <v>0</v>
      </c>
      <c r="E68" s="101">
        <f t="shared" si="9"/>
        <v>12</v>
      </c>
      <c r="F68" s="101">
        <f t="shared" si="10"/>
        <v>16.666666666666668</v>
      </c>
      <c r="G68" s="101">
        <f t="shared" si="11"/>
        <v>0</v>
      </c>
      <c r="H68" s="101">
        <f t="shared" si="12"/>
        <v>16.666666666666668</v>
      </c>
      <c r="I68" s="99">
        <f t="shared" si="13"/>
        <v>63380.2284</v>
      </c>
      <c r="J68" s="99">
        <f t="shared" si="14"/>
        <v>1056337.1400000001</v>
      </c>
      <c r="K68" s="99">
        <f t="shared" si="15"/>
        <v>334541.97223800002</v>
      </c>
      <c r="L68" s="99">
        <v>0</v>
      </c>
      <c r="M68" s="99">
        <f t="shared" si="16"/>
        <v>1390879.1122380001</v>
      </c>
      <c r="N68" s="99">
        <v>1358324.2522522521</v>
      </c>
      <c r="O68" s="99">
        <f t="shared" si="17"/>
        <v>1358324.2522522521</v>
      </c>
    </row>
    <row r="69" spans="1:15" ht="13.5" customHeight="1" x14ac:dyDescent="0.25">
      <c r="A69" s="105">
        <v>41002</v>
      </c>
      <c r="B69" s="105" t="s">
        <v>261</v>
      </c>
      <c r="C69" s="102">
        <v>4807.7700000000004</v>
      </c>
      <c r="D69" s="104">
        <v>18</v>
      </c>
      <c r="E69" s="101">
        <f t="shared" si="9"/>
        <v>15</v>
      </c>
      <c r="F69" s="101">
        <f t="shared" si="10"/>
        <v>320.51800000000003</v>
      </c>
      <c r="G69" s="101">
        <f t="shared" si="11"/>
        <v>1.2</v>
      </c>
      <c r="H69" s="101">
        <f t="shared" si="12"/>
        <v>321.71800000000002</v>
      </c>
      <c r="I69" s="99">
        <f t="shared" si="13"/>
        <v>63380.2284</v>
      </c>
      <c r="J69" s="99">
        <f t="shared" si="14"/>
        <v>20390560.3203912</v>
      </c>
      <c r="K69" s="99">
        <f t="shared" si="15"/>
        <v>6457690.4534678925</v>
      </c>
      <c r="L69" s="99">
        <v>0</v>
      </c>
      <c r="M69" s="99">
        <f t="shared" si="16"/>
        <v>26848250.773859091</v>
      </c>
      <c r="N69" s="99">
        <v>0</v>
      </c>
      <c r="O69" s="99">
        <f t="shared" si="17"/>
        <v>26848250.773859091</v>
      </c>
    </row>
    <row r="70" spans="1:15" ht="13.5" customHeight="1" x14ac:dyDescent="0.25">
      <c r="A70" s="105">
        <v>14002</v>
      </c>
      <c r="B70" s="105" t="s">
        <v>262</v>
      </c>
      <c r="C70" s="102">
        <v>176</v>
      </c>
      <c r="D70" s="104">
        <v>0</v>
      </c>
      <c r="E70" s="101">
        <f t="shared" ref="E70:E101" si="18">IF(C70&lt;200,12,IF(C70&gt;600,15,(C70*0.0075)+10.5))</f>
        <v>12</v>
      </c>
      <c r="F70" s="101">
        <f t="shared" ref="F70:F101" si="19">C70/E70</f>
        <v>14.666666666666666</v>
      </c>
      <c r="G70" s="101">
        <f t="shared" ref="G70:G101" si="20">D70/E70</f>
        <v>0</v>
      </c>
      <c r="H70" s="101">
        <f t="shared" ref="H70:H101" si="21">F70+G70</f>
        <v>14.666666666666666</v>
      </c>
      <c r="I70" s="99">
        <f t="shared" ref="I70:I101" si="22">$I$4*1.29</f>
        <v>63380.2284</v>
      </c>
      <c r="J70" s="99">
        <f t="shared" ref="J70:J101" si="23">H70*I70</f>
        <v>929576.68319999997</v>
      </c>
      <c r="K70" s="99">
        <f t="shared" ref="K70:K101" si="24">J70*0.3167</f>
        <v>294396.93556943996</v>
      </c>
      <c r="L70" s="99">
        <v>0</v>
      </c>
      <c r="M70" s="99">
        <f t="shared" ref="M70:M101" si="25">J70+K70+L70</f>
        <v>1223973.6187694399</v>
      </c>
      <c r="N70" s="99">
        <v>0</v>
      </c>
      <c r="O70" s="99">
        <f t="shared" ref="O70:O101" si="26">IF(N70=0,M70,N70)</f>
        <v>1223973.6187694399</v>
      </c>
    </row>
    <row r="71" spans="1:15" ht="13.5" customHeight="1" x14ac:dyDescent="0.25">
      <c r="A71" s="105">
        <v>10001</v>
      </c>
      <c r="B71" s="105" t="s">
        <v>263</v>
      </c>
      <c r="C71" s="102">
        <v>119</v>
      </c>
      <c r="D71" s="104">
        <v>0</v>
      </c>
      <c r="E71" s="101">
        <f t="shared" si="18"/>
        <v>12</v>
      </c>
      <c r="F71" s="101">
        <f t="shared" si="19"/>
        <v>9.9166666666666661</v>
      </c>
      <c r="G71" s="101">
        <f t="shared" si="20"/>
        <v>0</v>
      </c>
      <c r="H71" s="101">
        <f t="shared" si="21"/>
        <v>9.9166666666666661</v>
      </c>
      <c r="I71" s="99">
        <f t="shared" si="22"/>
        <v>63380.2284</v>
      </c>
      <c r="J71" s="99">
        <f t="shared" si="23"/>
        <v>628520.59829999995</v>
      </c>
      <c r="K71" s="99">
        <f t="shared" si="24"/>
        <v>199052.47348160998</v>
      </c>
      <c r="L71" s="99">
        <v>0</v>
      </c>
      <c r="M71" s="99">
        <f t="shared" si="25"/>
        <v>827573.07178160991</v>
      </c>
      <c r="N71" s="99">
        <v>0</v>
      </c>
      <c r="O71" s="99">
        <f t="shared" si="26"/>
        <v>827573.07178160991</v>
      </c>
    </row>
    <row r="72" spans="1:15" ht="13.5" customHeight="1" x14ac:dyDescent="0.25">
      <c r="A72" s="105">
        <v>34002</v>
      </c>
      <c r="B72" s="105" t="s">
        <v>264</v>
      </c>
      <c r="C72" s="102">
        <v>232.95</v>
      </c>
      <c r="D72" s="104">
        <v>0</v>
      </c>
      <c r="E72" s="101">
        <f t="shared" si="18"/>
        <v>12.247125</v>
      </c>
      <c r="F72" s="101">
        <f t="shared" si="19"/>
        <v>19.020790593710768</v>
      </c>
      <c r="G72" s="101">
        <f t="shared" si="20"/>
        <v>0</v>
      </c>
      <c r="H72" s="101">
        <f t="shared" si="21"/>
        <v>19.020790593710768</v>
      </c>
      <c r="I72" s="99">
        <f t="shared" si="22"/>
        <v>63380.2284</v>
      </c>
      <c r="J72" s="99">
        <f t="shared" si="23"/>
        <v>1205542.0521779601</v>
      </c>
      <c r="K72" s="99">
        <f t="shared" si="24"/>
        <v>381795.16792475991</v>
      </c>
      <c r="L72" s="99">
        <v>0</v>
      </c>
      <c r="M72" s="99">
        <f t="shared" si="25"/>
        <v>1587337.22010272</v>
      </c>
      <c r="N72" s="99">
        <v>0</v>
      </c>
      <c r="O72" s="99">
        <f t="shared" si="26"/>
        <v>1587337.22010272</v>
      </c>
    </row>
    <row r="73" spans="1:15" ht="13.5" customHeight="1" x14ac:dyDescent="0.25">
      <c r="A73" s="105">
        <v>51002</v>
      </c>
      <c r="B73" s="105" t="s">
        <v>265</v>
      </c>
      <c r="C73" s="102">
        <v>453.4</v>
      </c>
      <c r="D73" s="104">
        <v>2.5</v>
      </c>
      <c r="E73" s="101">
        <f t="shared" si="18"/>
        <v>13.900499999999999</v>
      </c>
      <c r="F73" s="101">
        <f t="shared" si="19"/>
        <v>32.617531743462465</v>
      </c>
      <c r="G73" s="101">
        <f t="shared" si="20"/>
        <v>0.17984964569619799</v>
      </c>
      <c r="H73" s="101">
        <f t="shared" si="21"/>
        <v>32.797381389158666</v>
      </c>
      <c r="I73" s="99">
        <f t="shared" si="22"/>
        <v>63380.2284</v>
      </c>
      <c r="J73" s="99">
        <f t="shared" si="23"/>
        <v>2078705.5233667856</v>
      </c>
      <c r="K73" s="99">
        <f t="shared" si="24"/>
        <v>658326.03925026092</v>
      </c>
      <c r="L73" s="99">
        <v>0</v>
      </c>
      <c r="M73" s="99">
        <f t="shared" si="25"/>
        <v>2737031.5626170468</v>
      </c>
      <c r="N73" s="99">
        <v>0</v>
      </c>
      <c r="O73" s="99">
        <f t="shared" si="26"/>
        <v>2737031.5626170468</v>
      </c>
    </row>
    <row r="74" spans="1:15" ht="13.5" customHeight="1" x14ac:dyDescent="0.25">
      <c r="A74" s="105">
        <v>56006</v>
      </c>
      <c r="B74" s="105" t="s">
        <v>266</v>
      </c>
      <c r="C74" s="102">
        <v>230.38</v>
      </c>
      <c r="D74" s="104">
        <v>4</v>
      </c>
      <c r="E74" s="101">
        <f t="shared" si="18"/>
        <v>12.22785</v>
      </c>
      <c r="F74" s="101">
        <f t="shared" si="19"/>
        <v>18.840597488520057</v>
      </c>
      <c r="G74" s="101">
        <f t="shared" si="20"/>
        <v>0.32712210241375222</v>
      </c>
      <c r="H74" s="101">
        <f t="shared" si="21"/>
        <v>19.16771959093381</v>
      </c>
      <c r="I74" s="99">
        <f t="shared" si="22"/>
        <v>63380.2284</v>
      </c>
      <c r="J74" s="99">
        <f t="shared" si="23"/>
        <v>1214854.4455805395</v>
      </c>
      <c r="K74" s="99">
        <f t="shared" si="24"/>
        <v>384744.40291535686</v>
      </c>
      <c r="L74" s="99">
        <v>0</v>
      </c>
      <c r="M74" s="99">
        <f t="shared" si="25"/>
        <v>1599598.8484958964</v>
      </c>
      <c r="N74" s="99">
        <v>0</v>
      </c>
      <c r="O74" s="99">
        <f t="shared" si="26"/>
        <v>1599598.8484958964</v>
      </c>
    </row>
    <row r="75" spans="1:15" ht="13.5" customHeight="1" x14ac:dyDescent="0.25">
      <c r="A75" s="105">
        <v>23002</v>
      </c>
      <c r="B75" s="105" t="s">
        <v>267</v>
      </c>
      <c r="C75" s="102">
        <v>761.24</v>
      </c>
      <c r="D75" s="104">
        <v>0.25</v>
      </c>
      <c r="E75" s="101">
        <f t="shared" si="18"/>
        <v>15</v>
      </c>
      <c r="F75" s="101">
        <f t="shared" si="19"/>
        <v>50.749333333333333</v>
      </c>
      <c r="G75" s="101">
        <f t="shared" si="20"/>
        <v>1.6666666666666666E-2</v>
      </c>
      <c r="H75" s="101">
        <f t="shared" si="21"/>
        <v>50.765999999999998</v>
      </c>
      <c r="I75" s="99">
        <f t="shared" si="22"/>
        <v>63380.2284</v>
      </c>
      <c r="J75" s="99">
        <f t="shared" si="23"/>
        <v>3217560.6749543999</v>
      </c>
      <c r="K75" s="99">
        <f t="shared" si="24"/>
        <v>1019001.4657580584</v>
      </c>
      <c r="L75" s="99">
        <v>0</v>
      </c>
      <c r="M75" s="99">
        <f t="shared" si="25"/>
        <v>4236562.1407124586</v>
      </c>
      <c r="N75" s="99">
        <v>0</v>
      </c>
      <c r="O75" s="99">
        <f t="shared" si="26"/>
        <v>4236562.1407124586</v>
      </c>
    </row>
    <row r="76" spans="1:15" ht="13.5" customHeight="1" x14ac:dyDescent="0.25">
      <c r="A76" s="105">
        <v>53002</v>
      </c>
      <c r="B76" s="105" t="s">
        <v>268</v>
      </c>
      <c r="C76" s="102">
        <v>104</v>
      </c>
      <c r="D76" s="104">
        <v>0</v>
      </c>
      <c r="E76" s="101">
        <f t="shared" si="18"/>
        <v>12</v>
      </c>
      <c r="F76" s="101">
        <f t="shared" si="19"/>
        <v>8.6666666666666661</v>
      </c>
      <c r="G76" s="101">
        <f t="shared" si="20"/>
        <v>0</v>
      </c>
      <c r="H76" s="101">
        <f t="shared" si="21"/>
        <v>8.6666666666666661</v>
      </c>
      <c r="I76" s="99">
        <f t="shared" si="22"/>
        <v>63380.2284</v>
      </c>
      <c r="J76" s="99">
        <f t="shared" si="23"/>
        <v>549295.31279999996</v>
      </c>
      <c r="K76" s="99">
        <f t="shared" si="24"/>
        <v>173961.82556375998</v>
      </c>
      <c r="L76" s="99">
        <v>0</v>
      </c>
      <c r="M76" s="99">
        <f t="shared" si="25"/>
        <v>723257.13836375996</v>
      </c>
      <c r="N76" s="99">
        <v>714109.91785714286</v>
      </c>
      <c r="O76" s="99">
        <f t="shared" si="26"/>
        <v>714109.91785714286</v>
      </c>
    </row>
    <row r="77" spans="1:15" ht="13.5" customHeight="1" x14ac:dyDescent="0.25">
      <c r="A77" s="105">
        <v>48003</v>
      </c>
      <c r="B77" s="105" t="s">
        <v>269</v>
      </c>
      <c r="C77" s="102">
        <v>363.1</v>
      </c>
      <c r="D77" s="104">
        <v>2.25</v>
      </c>
      <c r="E77" s="101">
        <f t="shared" si="18"/>
        <v>13.22325</v>
      </c>
      <c r="F77" s="101">
        <f t="shared" si="19"/>
        <v>27.459210103416332</v>
      </c>
      <c r="G77" s="101">
        <f t="shared" si="20"/>
        <v>0.17015484090522376</v>
      </c>
      <c r="H77" s="101">
        <f t="shared" si="21"/>
        <v>27.629364944321555</v>
      </c>
      <c r="I77" s="99">
        <f t="shared" si="22"/>
        <v>63380.2284</v>
      </c>
      <c r="J77" s="99">
        <f t="shared" si="23"/>
        <v>1751155.4607180534</v>
      </c>
      <c r="K77" s="99">
        <f t="shared" si="24"/>
        <v>554590.93440940743</v>
      </c>
      <c r="L77" s="99">
        <v>0</v>
      </c>
      <c r="M77" s="99">
        <f t="shared" si="25"/>
        <v>2305746.3951274608</v>
      </c>
      <c r="N77" s="99">
        <v>0</v>
      </c>
      <c r="O77" s="99">
        <f t="shared" si="26"/>
        <v>2305746.3951274608</v>
      </c>
    </row>
    <row r="78" spans="1:15" ht="13.5" customHeight="1" x14ac:dyDescent="0.25">
      <c r="A78" s="105">
        <v>2002</v>
      </c>
      <c r="B78" s="105" t="s">
        <v>270</v>
      </c>
      <c r="C78" s="102">
        <v>2660.62</v>
      </c>
      <c r="D78" s="104">
        <v>158.25</v>
      </c>
      <c r="E78" s="101">
        <f t="shared" si="18"/>
        <v>15</v>
      </c>
      <c r="F78" s="101">
        <f t="shared" si="19"/>
        <v>177.37466666666666</v>
      </c>
      <c r="G78" s="101">
        <f t="shared" si="20"/>
        <v>10.55</v>
      </c>
      <c r="H78" s="101">
        <f t="shared" si="21"/>
        <v>187.92466666666667</v>
      </c>
      <c r="I78" s="99">
        <f t="shared" si="22"/>
        <v>63380.2284</v>
      </c>
      <c r="J78" s="99">
        <f t="shared" si="23"/>
        <v>11910708.2953272</v>
      </c>
      <c r="K78" s="99">
        <f t="shared" si="24"/>
        <v>3772121.3171301237</v>
      </c>
      <c r="L78" s="99">
        <v>12896</v>
      </c>
      <c r="M78" s="99">
        <f t="shared" si="25"/>
        <v>15695725.612457324</v>
      </c>
      <c r="N78" s="99">
        <v>0</v>
      </c>
      <c r="O78" s="99">
        <f t="shared" si="26"/>
        <v>15695725.612457324</v>
      </c>
    </row>
    <row r="79" spans="1:15" ht="13.5" customHeight="1" x14ac:dyDescent="0.25">
      <c r="A79" s="105">
        <v>22006</v>
      </c>
      <c r="B79" s="105" t="s">
        <v>271</v>
      </c>
      <c r="C79" s="102">
        <v>422.49</v>
      </c>
      <c r="D79" s="104">
        <v>4.75</v>
      </c>
      <c r="E79" s="101">
        <f t="shared" si="18"/>
        <v>13.668675</v>
      </c>
      <c r="F79" s="101">
        <f t="shared" si="19"/>
        <v>30.909360270838249</v>
      </c>
      <c r="G79" s="101">
        <f t="shared" si="20"/>
        <v>0.347509908604894</v>
      </c>
      <c r="H79" s="101">
        <f t="shared" si="21"/>
        <v>31.256870179443144</v>
      </c>
      <c r="I79" s="99">
        <f t="shared" si="22"/>
        <v>63380.2284</v>
      </c>
      <c r="J79" s="99">
        <f t="shared" si="23"/>
        <v>1981067.5710422555</v>
      </c>
      <c r="K79" s="99">
        <f t="shared" si="24"/>
        <v>627404.09974908223</v>
      </c>
      <c r="L79" s="99">
        <v>0</v>
      </c>
      <c r="M79" s="99">
        <f t="shared" si="25"/>
        <v>2608471.6707913377</v>
      </c>
      <c r="N79" s="99">
        <v>0</v>
      </c>
      <c r="O79" s="99">
        <f t="shared" si="26"/>
        <v>2608471.6707913377</v>
      </c>
    </row>
    <row r="80" spans="1:15" ht="13.5" customHeight="1" x14ac:dyDescent="0.25">
      <c r="A80" s="105">
        <v>13003</v>
      </c>
      <c r="B80" s="105" t="s">
        <v>272</v>
      </c>
      <c r="C80" s="102">
        <v>283.72000000000003</v>
      </c>
      <c r="D80" s="104">
        <v>0</v>
      </c>
      <c r="E80" s="101">
        <f t="shared" si="18"/>
        <v>12.6279</v>
      </c>
      <c r="F80" s="101">
        <f t="shared" si="19"/>
        <v>22.467710387316973</v>
      </c>
      <c r="G80" s="101">
        <f t="shared" si="20"/>
        <v>0</v>
      </c>
      <c r="H80" s="101">
        <f t="shared" si="21"/>
        <v>22.467710387316973</v>
      </c>
      <c r="I80" s="99">
        <f t="shared" si="22"/>
        <v>63380.2284</v>
      </c>
      <c r="J80" s="99">
        <f t="shared" si="23"/>
        <v>1424008.6159732023</v>
      </c>
      <c r="K80" s="99">
        <f t="shared" si="24"/>
        <v>450983.52867871313</v>
      </c>
      <c r="L80" s="99">
        <v>0</v>
      </c>
      <c r="M80" s="99">
        <f t="shared" si="25"/>
        <v>1874992.1446519154</v>
      </c>
      <c r="N80" s="99">
        <v>0</v>
      </c>
      <c r="O80" s="99">
        <f t="shared" si="26"/>
        <v>1874992.1446519154</v>
      </c>
    </row>
    <row r="81" spans="1:15" ht="13.5" customHeight="1" x14ac:dyDescent="0.25">
      <c r="A81" s="105">
        <v>2003</v>
      </c>
      <c r="B81" s="105" t="s">
        <v>273</v>
      </c>
      <c r="C81" s="102">
        <v>223.2</v>
      </c>
      <c r="D81" s="104">
        <v>0.5</v>
      </c>
      <c r="E81" s="101">
        <f t="shared" si="18"/>
        <v>12.173999999999999</v>
      </c>
      <c r="F81" s="101">
        <f t="shared" si="19"/>
        <v>18.334154756037456</v>
      </c>
      <c r="G81" s="101">
        <f t="shared" si="20"/>
        <v>4.1071135206177098E-2</v>
      </c>
      <c r="H81" s="101">
        <f t="shared" si="21"/>
        <v>18.375225891243634</v>
      </c>
      <c r="I81" s="99">
        <f t="shared" si="22"/>
        <v>63380.2284</v>
      </c>
      <c r="J81" s="99">
        <f t="shared" si="23"/>
        <v>1164626.0138886152</v>
      </c>
      <c r="K81" s="99">
        <f t="shared" si="24"/>
        <v>368837.05859852443</v>
      </c>
      <c r="L81" s="99">
        <v>0</v>
      </c>
      <c r="M81" s="99">
        <f t="shared" si="25"/>
        <v>1533463.0724871396</v>
      </c>
      <c r="N81" s="99">
        <v>0</v>
      </c>
      <c r="O81" s="99">
        <f t="shared" si="26"/>
        <v>1533463.0724871396</v>
      </c>
    </row>
    <row r="82" spans="1:15" ht="13.5" customHeight="1" x14ac:dyDescent="0.25">
      <c r="A82" s="105">
        <v>37003</v>
      </c>
      <c r="B82" s="105" t="s">
        <v>274</v>
      </c>
      <c r="C82" s="102">
        <v>179</v>
      </c>
      <c r="D82" s="104">
        <v>0</v>
      </c>
      <c r="E82" s="101">
        <f t="shared" si="18"/>
        <v>12</v>
      </c>
      <c r="F82" s="101">
        <f t="shared" si="19"/>
        <v>14.916666666666666</v>
      </c>
      <c r="G82" s="101">
        <f t="shared" si="20"/>
        <v>0</v>
      </c>
      <c r="H82" s="101">
        <f t="shared" si="21"/>
        <v>14.916666666666666</v>
      </c>
      <c r="I82" s="99">
        <f t="shared" si="22"/>
        <v>63380.2284</v>
      </c>
      <c r="J82" s="99">
        <f t="shared" si="23"/>
        <v>945421.74029999995</v>
      </c>
      <c r="K82" s="99">
        <f t="shared" si="24"/>
        <v>299415.06515300996</v>
      </c>
      <c r="L82" s="99">
        <v>0</v>
      </c>
      <c r="M82" s="99">
        <f t="shared" si="25"/>
        <v>1244836.8054530099</v>
      </c>
      <c r="N82" s="99">
        <v>0</v>
      </c>
      <c r="O82" s="99">
        <f t="shared" si="26"/>
        <v>1244836.8054530099</v>
      </c>
    </row>
    <row r="83" spans="1:15" ht="13.5" customHeight="1" x14ac:dyDescent="0.25">
      <c r="A83" s="105">
        <v>35002</v>
      </c>
      <c r="B83" s="105" t="s">
        <v>275</v>
      </c>
      <c r="C83" s="102">
        <v>322</v>
      </c>
      <c r="D83" s="104">
        <v>0</v>
      </c>
      <c r="E83" s="101">
        <f t="shared" si="18"/>
        <v>12.914999999999999</v>
      </c>
      <c r="F83" s="101">
        <f t="shared" si="19"/>
        <v>24.932249322493227</v>
      </c>
      <c r="G83" s="101">
        <f t="shared" si="20"/>
        <v>0</v>
      </c>
      <c r="H83" s="101">
        <f t="shared" si="21"/>
        <v>24.932249322493227</v>
      </c>
      <c r="I83" s="99">
        <f t="shared" si="22"/>
        <v>63380.2284</v>
      </c>
      <c r="J83" s="99">
        <f t="shared" si="23"/>
        <v>1580211.656585366</v>
      </c>
      <c r="K83" s="99">
        <f t="shared" si="24"/>
        <v>500453.0316405854</v>
      </c>
      <c r="L83" s="99">
        <v>0</v>
      </c>
      <c r="M83" s="99">
        <f t="shared" si="25"/>
        <v>2080664.6882259515</v>
      </c>
      <c r="N83" s="99">
        <v>0</v>
      </c>
      <c r="O83" s="99">
        <f t="shared" si="26"/>
        <v>2080664.6882259515</v>
      </c>
    </row>
    <row r="84" spans="1:15" ht="13.5" customHeight="1" x14ac:dyDescent="0.25">
      <c r="A84" s="105">
        <v>7002</v>
      </c>
      <c r="B84" s="105" t="s">
        <v>276</v>
      </c>
      <c r="C84" s="102">
        <v>305.25</v>
      </c>
      <c r="D84" s="104">
        <v>1.75</v>
      </c>
      <c r="E84" s="101">
        <f t="shared" si="18"/>
        <v>12.789375</v>
      </c>
      <c r="F84" s="101">
        <f t="shared" si="19"/>
        <v>23.867468113179886</v>
      </c>
      <c r="G84" s="101">
        <f t="shared" si="20"/>
        <v>0.13683233152519181</v>
      </c>
      <c r="H84" s="101">
        <f t="shared" si="21"/>
        <v>24.004300444705077</v>
      </c>
      <c r="I84" s="99">
        <f t="shared" si="22"/>
        <v>63380.2284</v>
      </c>
      <c r="J84" s="99">
        <f t="shared" si="23"/>
        <v>1521398.0447676294</v>
      </c>
      <c r="K84" s="99">
        <f t="shared" si="24"/>
        <v>481826.7607779082</v>
      </c>
      <c r="L84" s="99">
        <v>0</v>
      </c>
      <c r="M84" s="99">
        <f t="shared" si="25"/>
        <v>2003224.8055455375</v>
      </c>
      <c r="N84" s="99">
        <v>0</v>
      </c>
      <c r="O84" s="99">
        <f t="shared" si="26"/>
        <v>2003224.8055455375</v>
      </c>
    </row>
    <row r="85" spans="1:15" ht="13.5" customHeight="1" x14ac:dyDescent="0.25">
      <c r="A85" s="105">
        <v>38003</v>
      </c>
      <c r="B85" s="105" t="s">
        <v>277</v>
      </c>
      <c r="C85" s="102">
        <v>164</v>
      </c>
      <c r="D85" s="104">
        <v>0.25</v>
      </c>
      <c r="E85" s="101">
        <f t="shared" si="18"/>
        <v>12</v>
      </c>
      <c r="F85" s="101">
        <f t="shared" si="19"/>
        <v>13.666666666666666</v>
      </c>
      <c r="G85" s="101">
        <f t="shared" si="20"/>
        <v>2.0833333333333332E-2</v>
      </c>
      <c r="H85" s="101">
        <f t="shared" si="21"/>
        <v>13.6875</v>
      </c>
      <c r="I85" s="99">
        <f t="shared" si="22"/>
        <v>63380.2284</v>
      </c>
      <c r="J85" s="99">
        <f t="shared" si="23"/>
        <v>867516.87622500001</v>
      </c>
      <c r="K85" s="99">
        <f t="shared" si="24"/>
        <v>274742.59470045747</v>
      </c>
      <c r="L85" s="99">
        <v>0</v>
      </c>
      <c r="M85" s="99">
        <f t="shared" si="25"/>
        <v>1142259.4709254575</v>
      </c>
      <c r="N85" s="99">
        <v>0</v>
      </c>
      <c r="O85" s="99">
        <f t="shared" si="26"/>
        <v>1142259.4709254575</v>
      </c>
    </row>
    <row r="86" spans="1:15" ht="13.5" customHeight="1" x14ac:dyDescent="0.25">
      <c r="A86" s="105">
        <v>45005</v>
      </c>
      <c r="B86" s="105" t="s">
        <v>278</v>
      </c>
      <c r="C86" s="102">
        <v>211</v>
      </c>
      <c r="D86" s="104">
        <v>2.5</v>
      </c>
      <c r="E86" s="101">
        <f t="shared" si="18"/>
        <v>12.0825</v>
      </c>
      <c r="F86" s="101">
        <f t="shared" si="19"/>
        <v>17.463273329195118</v>
      </c>
      <c r="G86" s="101">
        <f t="shared" si="20"/>
        <v>0.2069108214359611</v>
      </c>
      <c r="H86" s="101">
        <f t="shared" si="21"/>
        <v>17.67018415063108</v>
      </c>
      <c r="I86" s="99">
        <f t="shared" si="22"/>
        <v>63380.2284</v>
      </c>
      <c r="J86" s="99">
        <f t="shared" si="23"/>
        <v>1119940.3073370578</v>
      </c>
      <c r="K86" s="99">
        <f t="shared" si="24"/>
        <v>354685.09533364617</v>
      </c>
      <c r="L86" s="99">
        <v>0</v>
      </c>
      <c r="M86" s="99">
        <f t="shared" si="25"/>
        <v>1474625.4026707038</v>
      </c>
      <c r="N86" s="99">
        <v>0</v>
      </c>
      <c r="O86" s="99">
        <f t="shared" si="26"/>
        <v>1474625.4026707038</v>
      </c>
    </row>
    <row r="87" spans="1:15" ht="13.5" customHeight="1" x14ac:dyDescent="0.25">
      <c r="A87" s="105">
        <v>40001</v>
      </c>
      <c r="B87" s="105" t="s">
        <v>279</v>
      </c>
      <c r="C87" s="102">
        <v>757.99</v>
      </c>
      <c r="D87" s="104">
        <v>4.75</v>
      </c>
      <c r="E87" s="101">
        <f t="shared" si="18"/>
        <v>15</v>
      </c>
      <c r="F87" s="101">
        <f t="shared" si="19"/>
        <v>50.532666666666664</v>
      </c>
      <c r="G87" s="101">
        <f t="shared" si="20"/>
        <v>0.31666666666666665</v>
      </c>
      <c r="H87" s="101">
        <f t="shared" si="21"/>
        <v>50.849333333333334</v>
      </c>
      <c r="I87" s="99">
        <f t="shared" si="22"/>
        <v>63380.2284</v>
      </c>
      <c r="J87" s="99">
        <f t="shared" si="23"/>
        <v>3222842.3606544002</v>
      </c>
      <c r="K87" s="99">
        <f t="shared" si="24"/>
        <v>1020674.1756192485</v>
      </c>
      <c r="L87" s="99">
        <v>0</v>
      </c>
      <c r="M87" s="99">
        <f t="shared" si="25"/>
        <v>4243516.536273649</v>
      </c>
      <c r="N87" s="99">
        <v>0</v>
      </c>
      <c r="O87" s="99">
        <f t="shared" si="26"/>
        <v>4243516.536273649</v>
      </c>
    </row>
    <row r="88" spans="1:15" ht="13.5" customHeight="1" x14ac:dyDescent="0.25">
      <c r="A88" s="105">
        <v>52004</v>
      </c>
      <c r="B88" s="105" t="s">
        <v>280</v>
      </c>
      <c r="C88" s="102">
        <v>238.82</v>
      </c>
      <c r="D88" s="104">
        <v>0</v>
      </c>
      <c r="E88" s="101">
        <f t="shared" si="18"/>
        <v>12.29115</v>
      </c>
      <c r="F88" s="101">
        <f t="shared" si="19"/>
        <v>19.430240457564995</v>
      </c>
      <c r="G88" s="101">
        <f t="shared" si="20"/>
        <v>0</v>
      </c>
      <c r="H88" s="101">
        <f t="shared" si="21"/>
        <v>19.430240457564995</v>
      </c>
      <c r="I88" s="99">
        <f t="shared" si="22"/>
        <v>63380.2284</v>
      </c>
      <c r="J88" s="99">
        <f t="shared" si="23"/>
        <v>1231493.07806739</v>
      </c>
      <c r="K88" s="99">
        <f t="shared" si="24"/>
        <v>390013.85782394238</v>
      </c>
      <c r="L88" s="99">
        <v>0</v>
      </c>
      <c r="M88" s="99">
        <f t="shared" si="25"/>
        <v>1621506.9358913323</v>
      </c>
      <c r="N88" s="99">
        <v>0</v>
      </c>
      <c r="O88" s="99">
        <f t="shared" si="26"/>
        <v>1621506.9358913323</v>
      </c>
    </row>
    <row r="89" spans="1:15" ht="13.5" customHeight="1" x14ac:dyDescent="0.25">
      <c r="A89" s="105">
        <v>41004</v>
      </c>
      <c r="B89" s="105" t="s">
        <v>281</v>
      </c>
      <c r="C89" s="102">
        <v>1123.75</v>
      </c>
      <c r="D89" s="104">
        <v>0</v>
      </c>
      <c r="E89" s="101">
        <f t="shared" si="18"/>
        <v>15</v>
      </c>
      <c r="F89" s="101">
        <f t="shared" si="19"/>
        <v>74.916666666666671</v>
      </c>
      <c r="G89" s="101">
        <f t="shared" si="20"/>
        <v>0</v>
      </c>
      <c r="H89" s="101">
        <f t="shared" si="21"/>
        <v>74.916666666666671</v>
      </c>
      <c r="I89" s="99">
        <f t="shared" si="22"/>
        <v>63380.2284</v>
      </c>
      <c r="J89" s="99">
        <f t="shared" si="23"/>
        <v>4748235.4443000006</v>
      </c>
      <c r="K89" s="99">
        <f t="shared" si="24"/>
        <v>1503766.16520981</v>
      </c>
      <c r="L89" s="99">
        <v>0</v>
      </c>
      <c r="M89" s="99">
        <f t="shared" si="25"/>
        <v>6252001.6095098108</v>
      </c>
      <c r="N89" s="99">
        <v>0</v>
      </c>
      <c r="O89" s="99">
        <f t="shared" si="26"/>
        <v>6252001.6095098108</v>
      </c>
    </row>
    <row r="90" spans="1:15" ht="13.5" customHeight="1" x14ac:dyDescent="0.25">
      <c r="A90" s="105">
        <v>44002</v>
      </c>
      <c r="B90" s="105" t="s">
        <v>282</v>
      </c>
      <c r="C90" s="102">
        <v>200</v>
      </c>
      <c r="D90" s="104">
        <v>6.25</v>
      </c>
      <c r="E90" s="101">
        <f t="shared" si="18"/>
        <v>12</v>
      </c>
      <c r="F90" s="101">
        <f t="shared" si="19"/>
        <v>16.666666666666668</v>
      </c>
      <c r="G90" s="101">
        <f t="shared" si="20"/>
        <v>0.52083333333333337</v>
      </c>
      <c r="H90" s="101">
        <f t="shared" si="21"/>
        <v>17.1875</v>
      </c>
      <c r="I90" s="99">
        <f t="shared" si="22"/>
        <v>63380.2284</v>
      </c>
      <c r="J90" s="99">
        <f t="shared" si="23"/>
        <v>1089347.6756249999</v>
      </c>
      <c r="K90" s="99">
        <f t="shared" si="24"/>
        <v>344996.40887043747</v>
      </c>
      <c r="L90" s="99">
        <v>0</v>
      </c>
      <c r="M90" s="99">
        <f t="shared" si="25"/>
        <v>1434344.0844954373</v>
      </c>
      <c r="N90" s="99">
        <v>0</v>
      </c>
      <c r="O90" s="99">
        <f t="shared" si="26"/>
        <v>1434344.0844954373</v>
      </c>
    </row>
    <row r="91" spans="1:15" ht="13.5" customHeight="1" x14ac:dyDescent="0.25">
      <c r="A91" s="105">
        <v>42001</v>
      </c>
      <c r="B91" s="105" t="s">
        <v>283</v>
      </c>
      <c r="C91" s="102">
        <v>366</v>
      </c>
      <c r="D91" s="104">
        <v>0</v>
      </c>
      <c r="E91" s="101">
        <f t="shared" si="18"/>
        <v>13.245000000000001</v>
      </c>
      <c r="F91" s="101">
        <f t="shared" si="19"/>
        <v>27.633069082672705</v>
      </c>
      <c r="G91" s="101">
        <f t="shared" si="20"/>
        <v>0</v>
      </c>
      <c r="H91" s="101">
        <f t="shared" si="21"/>
        <v>27.633069082672705</v>
      </c>
      <c r="I91" s="99">
        <f t="shared" si="22"/>
        <v>63380.2284</v>
      </c>
      <c r="J91" s="99">
        <f t="shared" si="23"/>
        <v>1751390.2298527744</v>
      </c>
      <c r="K91" s="99">
        <f t="shared" si="24"/>
        <v>554665.2857943736</v>
      </c>
      <c r="L91" s="99">
        <v>0</v>
      </c>
      <c r="M91" s="99">
        <f t="shared" si="25"/>
        <v>2306055.5156471478</v>
      </c>
      <c r="N91" s="99">
        <v>0</v>
      </c>
      <c r="O91" s="99">
        <f t="shared" si="26"/>
        <v>2306055.5156471478</v>
      </c>
    </row>
    <row r="92" spans="1:15" ht="13.5" customHeight="1" x14ac:dyDescent="0.25">
      <c r="A92" s="105">
        <v>39002</v>
      </c>
      <c r="B92" s="105" t="s">
        <v>284</v>
      </c>
      <c r="C92" s="102">
        <v>1205.8</v>
      </c>
      <c r="D92" s="104">
        <v>4</v>
      </c>
      <c r="E92" s="101">
        <f t="shared" si="18"/>
        <v>15</v>
      </c>
      <c r="F92" s="101">
        <f t="shared" si="19"/>
        <v>80.38666666666667</v>
      </c>
      <c r="G92" s="101">
        <f t="shared" si="20"/>
        <v>0.26666666666666666</v>
      </c>
      <c r="H92" s="101">
        <f t="shared" si="21"/>
        <v>80.653333333333336</v>
      </c>
      <c r="I92" s="99">
        <f t="shared" si="22"/>
        <v>63380.2284</v>
      </c>
      <c r="J92" s="99">
        <f t="shared" si="23"/>
        <v>5111826.6878880002</v>
      </c>
      <c r="K92" s="99">
        <f t="shared" si="24"/>
        <v>1618915.5120541295</v>
      </c>
      <c r="L92" s="99">
        <v>0</v>
      </c>
      <c r="M92" s="99">
        <f t="shared" si="25"/>
        <v>6730742.1999421297</v>
      </c>
      <c r="N92" s="99">
        <v>0</v>
      </c>
      <c r="O92" s="99">
        <f t="shared" si="26"/>
        <v>6730742.1999421297</v>
      </c>
    </row>
    <row r="93" spans="1:15" ht="13.5" customHeight="1" x14ac:dyDescent="0.25">
      <c r="A93" s="105">
        <v>60003</v>
      </c>
      <c r="B93" s="105" t="s">
        <v>285</v>
      </c>
      <c r="C93" s="102">
        <v>167</v>
      </c>
      <c r="D93" s="104">
        <v>0.75</v>
      </c>
      <c r="E93" s="101">
        <f t="shared" si="18"/>
        <v>12</v>
      </c>
      <c r="F93" s="101">
        <f t="shared" si="19"/>
        <v>13.916666666666666</v>
      </c>
      <c r="G93" s="101">
        <f t="shared" si="20"/>
        <v>6.25E-2</v>
      </c>
      <c r="H93" s="101">
        <f t="shared" si="21"/>
        <v>13.979166666666666</v>
      </c>
      <c r="I93" s="99">
        <f t="shared" si="22"/>
        <v>63380.2284</v>
      </c>
      <c r="J93" s="99">
        <f t="shared" si="23"/>
        <v>886002.77617500001</v>
      </c>
      <c r="K93" s="99">
        <f t="shared" si="24"/>
        <v>280597.0792146225</v>
      </c>
      <c r="L93" s="99">
        <v>0</v>
      </c>
      <c r="M93" s="99">
        <f t="shared" si="25"/>
        <v>1166599.8553896225</v>
      </c>
      <c r="N93" s="99">
        <v>0</v>
      </c>
      <c r="O93" s="99">
        <f t="shared" si="26"/>
        <v>1166599.8553896225</v>
      </c>
    </row>
    <row r="94" spans="1:15" ht="13.5" customHeight="1" x14ac:dyDescent="0.25">
      <c r="A94" s="105">
        <v>43007</v>
      </c>
      <c r="B94" s="105" t="s">
        <v>286</v>
      </c>
      <c r="C94" s="102">
        <v>377.91</v>
      </c>
      <c r="D94" s="104">
        <v>1.5</v>
      </c>
      <c r="E94" s="101">
        <f t="shared" si="18"/>
        <v>13.334325</v>
      </c>
      <c r="F94" s="101">
        <f t="shared" si="19"/>
        <v>28.341142127554267</v>
      </c>
      <c r="G94" s="101">
        <f t="shared" si="20"/>
        <v>0.11249163343476329</v>
      </c>
      <c r="H94" s="101">
        <f t="shared" si="21"/>
        <v>28.453633760989032</v>
      </c>
      <c r="I94" s="99">
        <f t="shared" si="22"/>
        <v>63380.2284</v>
      </c>
      <c r="J94" s="99">
        <f t="shared" si="23"/>
        <v>1803397.8065814357</v>
      </c>
      <c r="K94" s="99">
        <f t="shared" si="24"/>
        <v>571136.08534434065</v>
      </c>
      <c r="L94" s="99">
        <v>0</v>
      </c>
      <c r="M94" s="99">
        <f t="shared" si="25"/>
        <v>2374533.8919257764</v>
      </c>
      <c r="N94" s="99">
        <v>0</v>
      </c>
      <c r="O94" s="99">
        <f t="shared" si="26"/>
        <v>2374533.8919257764</v>
      </c>
    </row>
    <row r="95" spans="1:15" ht="13.5" customHeight="1" x14ac:dyDescent="0.25">
      <c r="A95" s="105">
        <v>15001</v>
      </c>
      <c r="B95" s="105" t="s">
        <v>287</v>
      </c>
      <c r="C95" s="102">
        <v>171</v>
      </c>
      <c r="D95" s="104">
        <v>0</v>
      </c>
      <c r="E95" s="101">
        <f t="shared" si="18"/>
        <v>12</v>
      </c>
      <c r="F95" s="101">
        <f t="shared" si="19"/>
        <v>14.25</v>
      </c>
      <c r="G95" s="101">
        <f t="shared" si="20"/>
        <v>0</v>
      </c>
      <c r="H95" s="101">
        <f t="shared" si="21"/>
        <v>14.25</v>
      </c>
      <c r="I95" s="99">
        <f t="shared" si="22"/>
        <v>63380.2284</v>
      </c>
      <c r="J95" s="99">
        <f t="shared" si="23"/>
        <v>903168.25470000005</v>
      </c>
      <c r="K95" s="99">
        <f t="shared" si="24"/>
        <v>286033.38626349001</v>
      </c>
      <c r="L95" s="99">
        <v>0</v>
      </c>
      <c r="M95" s="99">
        <f t="shared" si="25"/>
        <v>1189201.6409634901</v>
      </c>
      <c r="N95" s="99">
        <v>0</v>
      </c>
      <c r="O95" s="99">
        <f t="shared" si="26"/>
        <v>1189201.6409634901</v>
      </c>
    </row>
    <row r="96" spans="1:15" ht="13.5" customHeight="1" x14ac:dyDescent="0.25">
      <c r="A96" s="105">
        <v>15002</v>
      </c>
      <c r="B96" s="105" t="s">
        <v>288</v>
      </c>
      <c r="C96" s="102">
        <v>444.87</v>
      </c>
      <c r="D96" s="104">
        <v>0</v>
      </c>
      <c r="E96" s="101">
        <f t="shared" si="18"/>
        <v>13.836525</v>
      </c>
      <c r="F96" s="101">
        <f t="shared" si="19"/>
        <v>32.1518589385702</v>
      </c>
      <c r="G96" s="101">
        <f t="shared" si="20"/>
        <v>0</v>
      </c>
      <c r="H96" s="101">
        <f t="shared" si="21"/>
        <v>32.1518589385702</v>
      </c>
      <c r="I96" s="99">
        <f t="shared" si="22"/>
        <v>63380.2284</v>
      </c>
      <c r="J96" s="99">
        <f t="shared" si="23"/>
        <v>2037792.1630111609</v>
      </c>
      <c r="K96" s="99">
        <f t="shared" si="24"/>
        <v>645368.77802563459</v>
      </c>
      <c r="L96" s="99">
        <v>0</v>
      </c>
      <c r="M96" s="99">
        <f t="shared" si="25"/>
        <v>2683160.9410367953</v>
      </c>
      <c r="N96" s="99">
        <v>0</v>
      </c>
      <c r="O96" s="99">
        <f t="shared" si="26"/>
        <v>2683160.9410367953</v>
      </c>
    </row>
    <row r="97" spans="1:15" ht="13.5" customHeight="1" x14ac:dyDescent="0.25">
      <c r="A97" s="105">
        <v>46001</v>
      </c>
      <c r="B97" s="105" t="s">
        <v>289</v>
      </c>
      <c r="C97" s="102">
        <v>2878.35</v>
      </c>
      <c r="D97" s="104">
        <v>0.25</v>
      </c>
      <c r="E97" s="101">
        <f t="shared" si="18"/>
        <v>15</v>
      </c>
      <c r="F97" s="101">
        <f t="shared" si="19"/>
        <v>191.89</v>
      </c>
      <c r="G97" s="101">
        <f t="shared" si="20"/>
        <v>1.6666666666666666E-2</v>
      </c>
      <c r="H97" s="101">
        <f t="shared" si="21"/>
        <v>191.90666666666667</v>
      </c>
      <c r="I97" s="99">
        <f t="shared" si="22"/>
        <v>63380.2284</v>
      </c>
      <c r="J97" s="99">
        <f t="shared" si="23"/>
        <v>12163088.364816001</v>
      </c>
      <c r="K97" s="99">
        <f t="shared" si="24"/>
        <v>3852050.0851372271</v>
      </c>
      <c r="L97" s="99">
        <v>0</v>
      </c>
      <c r="M97" s="99">
        <f t="shared" si="25"/>
        <v>16015138.449953228</v>
      </c>
      <c r="N97" s="99">
        <v>0</v>
      </c>
      <c r="O97" s="99">
        <f t="shared" si="26"/>
        <v>16015138.449953228</v>
      </c>
    </row>
    <row r="98" spans="1:15" ht="13.5" customHeight="1" x14ac:dyDescent="0.25">
      <c r="A98" s="105">
        <v>33002</v>
      </c>
      <c r="B98" s="105" t="s">
        <v>290</v>
      </c>
      <c r="C98" s="102">
        <v>277</v>
      </c>
      <c r="D98" s="104">
        <v>6.25</v>
      </c>
      <c r="E98" s="101">
        <f t="shared" si="18"/>
        <v>12.577500000000001</v>
      </c>
      <c r="F98" s="101">
        <f t="shared" si="19"/>
        <v>22.023454581594116</v>
      </c>
      <c r="G98" s="101">
        <f t="shared" si="20"/>
        <v>0.49691910157026437</v>
      </c>
      <c r="H98" s="101">
        <f t="shared" si="21"/>
        <v>22.520373683164379</v>
      </c>
      <c r="I98" s="99">
        <f t="shared" si="22"/>
        <v>63380.2284</v>
      </c>
      <c r="J98" s="99">
        <f t="shared" si="23"/>
        <v>1427346.4276923076</v>
      </c>
      <c r="K98" s="99">
        <f t="shared" si="24"/>
        <v>452040.6136501538</v>
      </c>
      <c r="L98" s="99">
        <v>0</v>
      </c>
      <c r="M98" s="99">
        <f t="shared" si="25"/>
        <v>1879387.0413424615</v>
      </c>
      <c r="N98" s="99">
        <v>0</v>
      </c>
      <c r="O98" s="99">
        <f t="shared" si="26"/>
        <v>1879387.0413424615</v>
      </c>
    </row>
    <row r="99" spans="1:15" ht="13.5" customHeight="1" x14ac:dyDescent="0.25">
      <c r="A99" s="105">
        <v>25004</v>
      </c>
      <c r="B99" s="105" t="s">
        <v>291</v>
      </c>
      <c r="C99" s="102">
        <v>987.2</v>
      </c>
      <c r="D99" s="104">
        <v>5.75</v>
      </c>
      <c r="E99" s="101">
        <f t="shared" si="18"/>
        <v>15</v>
      </c>
      <c r="F99" s="101">
        <f t="shared" si="19"/>
        <v>65.813333333333333</v>
      </c>
      <c r="G99" s="101">
        <f t="shared" si="20"/>
        <v>0.38333333333333336</v>
      </c>
      <c r="H99" s="101">
        <f t="shared" si="21"/>
        <v>66.196666666666673</v>
      </c>
      <c r="I99" s="99">
        <f t="shared" si="22"/>
        <v>63380.2284</v>
      </c>
      <c r="J99" s="99">
        <f t="shared" si="23"/>
        <v>4195559.8526520003</v>
      </c>
      <c r="K99" s="99">
        <f t="shared" si="24"/>
        <v>1328733.8053348884</v>
      </c>
      <c r="L99" s="99">
        <v>0</v>
      </c>
      <c r="M99" s="99">
        <f t="shared" si="25"/>
        <v>5524293.6579868887</v>
      </c>
      <c r="N99" s="99">
        <v>0</v>
      </c>
      <c r="O99" s="99">
        <f t="shared" si="26"/>
        <v>5524293.6579868887</v>
      </c>
    </row>
    <row r="100" spans="1:15" ht="13.5" customHeight="1" x14ac:dyDescent="0.25">
      <c r="A100" s="105">
        <v>29004</v>
      </c>
      <c r="B100" s="105" t="s">
        <v>292</v>
      </c>
      <c r="C100" s="102">
        <v>453.04</v>
      </c>
      <c r="D100" s="104">
        <v>1.5</v>
      </c>
      <c r="E100" s="101">
        <f t="shared" si="18"/>
        <v>13.8978</v>
      </c>
      <c r="F100" s="101">
        <f t="shared" si="19"/>
        <v>32.597965145562611</v>
      </c>
      <c r="G100" s="101">
        <f t="shared" si="20"/>
        <v>0.10793075162975435</v>
      </c>
      <c r="H100" s="101">
        <f t="shared" si="21"/>
        <v>32.705895897192363</v>
      </c>
      <c r="I100" s="99">
        <f t="shared" si="22"/>
        <v>63380.2284</v>
      </c>
      <c r="J100" s="99">
        <f t="shared" si="23"/>
        <v>2072907.1519906749</v>
      </c>
      <c r="K100" s="99">
        <f t="shared" si="24"/>
        <v>656489.69503544667</v>
      </c>
      <c r="L100" s="99">
        <v>0</v>
      </c>
      <c r="M100" s="99">
        <f t="shared" si="25"/>
        <v>2729396.8470261218</v>
      </c>
      <c r="N100" s="99">
        <v>0</v>
      </c>
      <c r="O100" s="99">
        <f t="shared" si="26"/>
        <v>2729396.8470261218</v>
      </c>
    </row>
    <row r="101" spans="1:15" ht="14.25" customHeight="1" x14ac:dyDescent="0.25">
      <c r="A101" s="105">
        <v>17002</v>
      </c>
      <c r="B101" s="105" t="s">
        <v>293</v>
      </c>
      <c r="C101" s="102">
        <v>2795.95</v>
      </c>
      <c r="D101" s="104">
        <v>9.75</v>
      </c>
      <c r="E101" s="101">
        <f t="shared" si="18"/>
        <v>15</v>
      </c>
      <c r="F101" s="101">
        <f t="shared" si="19"/>
        <v>186.39666666666665</v>
      </c>
      <c r="G101" s="101">
        <f t="shared" si="20"/>
        <v>0.65</v>
      </c>
      <c r="H101" s="101">
        <f t="shared" si="21"/>
        <v>187.04666666666665</v>
      </c>
      <c r="I101" s="99">
        <f t="shared" si="22"/>
        <v>63380.2284</v>
      </c>
      <c r="J101" s="99">
        <f t="shared" si="23"/>
        <v>11855060.454791998</v>
      </c>
      <c r="K101" s="99">
        <f t="shared" si="24"/>
        <v>3754497.6460326258</v>
      </c>
      <c r="L101" s="99">
        <v>0</v>
      </c>
      <c r="M101" s="99">
        <f t="shared" si="25"/>
        <v>15609558.100824624</v>
      </c>
      <c r="N101" s="99">
        <v>0</v>
      </c>
      <c r="O101" s="99">
        <f t="shared" si="26"/>
        <v>15609558.100824624</v>
      </c>
    </row>
    <row r="102" spans="1:15" ht="13.5" customHeight="1" x14ac:dyDescent="0.25">
      <c r="A102" s="105">
        <v>62006</v>
      </c>
      <c r="B102" s="105" t="s">
        <v>294</v>
      </c>
      <c r="C102" s="102">
        <v>618.41999999999996</v>
      </c>
      <c r="D102" s="104">
        <v>0</v>
      </c>
      <c r="E102" s="101">
        <f t="shared" ref="E102:E111" si="27">IF(C102&lt;200,12,IF(C102&gt;600,15,(C102*0.0075)+10.5))</f>
        <v>15</v>
      </c>
      <c r="F102" s="101">
        <f t="shared" ref="F102:F133" si="28">C102/E102</f>
        <v>41.227999999999994</v>
      </c>
      <c r="G102" s="101">
        <f t="shared" ref="G102:G133" si="29">D102/E102</f>
        <v>0</v>
      </c>
      <c r="H102" s="101">
        <f t="shared" ref="H102:H133" si="30">F102+G102</f>
        <v>41.227999999999994</v>
      </c>
      <c r="I102" s="99">
        <f t="shared" ref="I102:I133" si="31">$I$4*1.29</f>
        <v>63380.2284</v>
      </c>
      <c r="J102" s="99">
        <f t="shared" ref="J102:J133" si="32">H102*I102</f>
        <v>2613040.0564751998</v>
      </c>
      <c r="K102" s="99">
        <f t="shared" ref="K102:K133" si="33">J102*0.3167</f>
        <v>827549.78588569572</v>
      </c>
      <c r="L102" s="99">
        <v>0</v>
      </c>
      <c r="M102" s="99">
        <f t="shared" ref="M102:M133" si="34">J102+K102+L102</f>
        <v>3440589.8423608956</v>
      </c>
      <c r="N102" s="99">
        <v>0</v>
      </c>
      <c r="O102" s="99">
        <f t="shared" ref="O102:O133" si="35">IF(N102=0,M102,N102)</f>
        <v>3440589.8423608956</v>
      </c>
    </row>
    <row r="103" spans="1:15" ht="13.5" customHeight="1" x14ac:dyDescent="0.25">
      <c r="A103" s="105">
        <v>43002</v>
      </c>
      <c r="B103" s="105" t="s">
        <v>295</v>
      </c>
      <c r="C103" s="102">
        <v>239</v>
      </c>
      <c r="D103" s="104">
        <v>4.75</v>
      </c>
      <c r="E103" s="101">
        <f t="shared" si="27"/>
        <v>12.2925</v>
      </c>
      <c r="F103" s="101">
        <f t="shared" si="28"/>
        <v>19.442749644091926</v>
      </c>
      <c r="G103" s="101">
        <f t="shared" si="29"/>
        <v>0.38641448037421189</v>
      </c>
      <c r="H103" s="101">
        <f t="shared" si="30"/>
        <v>19.829164124466139</v>
      </c>
      <c r="I103" s="99">
        <f t="shared" si="31"/>
        <v>63380.2284</v>
      </c>
      <c r="J103" s="99">
        <f t="shared" si="32"/>
        <v>1256776.9511897499</v>
      </c>
      <c r="K103" s="99">
        <f t="shared" si="33"/>
        <v>398021.26044179377</v>
      </c>
      <c r="L103" s="99">
        <v>0</v>
      </c>
      <c r="M103" s="99">
        <f t="shared" si="34"/>
        <v>1654798.2116315437</v>
      </c>
      <c r="N103" s="99">
        <v>0</v>
      </c>
      <c r="O103" s="99">
        <f t="shared" si="35"/>
        <v>1654798.2116315437</v>
      </c>
    </row>
    <row r="104" spans="1:15" ht="13.5" customHeight="1" x14ac:dyDescent="0.25">
      <c r="A104" s="105">
        <v>17003</v>
      </c>
      <c r="B104" s="105" t="s">
        <v>296</v>
      </c>
      <c r="C104" s="102">
        <v>213</v>
      </c>
      <c r="D104" s="104">
        <v>0.25</v>
      </c>
      <c r="E104" s="101">
        <f t="shared" si="27"/>
        <v>12.0975</v>
      </c>
      <c r="F104" s="101">
        <f t="shared" si="28"/>
        <v>17.606943583384997</v>
      </c>
      <c r="G104" s="101">
        <f t="shared" si="29"/>
        <v>2.0665426741062202E-2</v>
      </c>
      <c r="H104" s="101">
        <f t="shared" si="30"/>
        <v>17.627609010126058</v>
      </c>
      <c r="I104" s="99">
        <f t="shared" si="31"/>
        <v>63380.2284</v>
      </c>
      <c r="J104" s="99">
        <f t="shared" si="32"/>
        <v>1117241.8852076875</v>
      </c>
      <c r="K104" s="99">
        <f t="shared" si="33"/>
        <v>353830.50504527462</v>
      </c>
      <c r="L104" s="99">
        <v>0</v>
      </c>
      <c r="M104" s="99">
        <f t="shared" si="34"/>
        <v>1471072.3902529622</v>
      </c>
      <c r="N104" s="99">
        <v>0</v>
      </c>
      <c r="O104" s="99">
        <f t="shared" si="35"/>
        <v>1471072.3902529622</v>
      </c>
    </row>
    <row r="105" spans="1:15" ht="13.5" customHeight="1" x14ac:dyDescent="0.25">
      <c r="A105" s="105">
        <v>51003</v>
      </c>
      <c r="B105" s="105" t="s">
        <v>297</v>
      </c>
      <c r="C105" s="102">
        <v>237</v>
      </c>
      <c r="D105" s="104">
        <v>1</v>
      </c>
      <c r="E105" s="101">
        <f t="shared" si="27"/>
        <v>12.2775</v>
      </c>
      <c r="F105" s="101">
        <f t="shared" si="28"/>
        <v>19.303604153940135</v>
      </c>
      <c r="G105" s="101">
        <f t="shared" si="29"/>
        <v>8.1449806556709428E-2</v>
      </c>
      <c r="H105" s="101">
        <f t="shared" si="30"/>
        <v>19.385053960496844</v>
      </c>
      <c r="I105" s="99">
        <f t="shared" si="31"/>
        <v>63380.2284</v>
      </c>
      <c r="J105" s="99">
        <f t="shared" si="32"/>
        <v>1228629.1475626146</v>
      </c>
      <c r="K105" s="99">
        <f t="shared" si="33"/>
        <v>389106.85103308002</v>
      </c>
      <c r="L105" s="99">
        <v>0</v>
      </c>
      <c r="M105" s="99">
        <f t="shared" si="34"/>
        <v>1617735.9985956945</v>
      </c>
      <c r="N105" s="99">
        <v>0</v>
      </c>
      <c r="O105" s="99">
        <f t="shared" si="35"/>
        <v>1617735.9985956945</v>
      </c>
    </row>
    <row r="106" spans="1:15" ht="13.5" customHeight="1" x14ac:dyDescent="0.25">
      <c r="A106" s="105">
        <v>9002</v>
      </c>
      <c r="B106" s="105" t="s">
        <v>298</v>
      </c>
      <c r="C106" s="102">
        <v>285</v>
      </c>
      <c r="D106" s="104">
        <v>0</v>
      </c>
      <c r="E106" s="101">
        <f t="shared" si="27"/>
        <v>12.637499999999999</v>
      </c>
      <c r="F106" s="101">
        <f t="shared" si="28"/>
        <v>22.551928783382792</v>
      </c>
      <c r="G106" s="101">
        <f t="shared" si="29"/>
        <v>0</v>
      </c>
      <c r="H106" s="101">
        <f t="shared" si="30"/>
        <v>22.551928783382792</v>
      </c>
      <c r="I106" s="99">
        <f t="shared" si="31"/>
        <v>63380.2284</v>
      </c>
      <c r="J106" s="99">
        <f t="shared" si="32"/>
        <v>1429346.3971513354</v>
      </c>
      <c r="K106" s="99">
        <f t="shared" si="33"/>
        <v>452674.0039778279</v>
      </c>
      <c r="L106" s="99">
        <v>0</v>
      </c>
      <c r="M106" s="99">
        <f t="shared" si="34"/>
        <v>1882020.4011291633</v>
      </c>
      <c r="N106" s="99">
        <v>0</v>
      </c>
      <c r="O106" s="99">
        <f t="shared" si="35"/>
        <v>1882020.4011291633</v>
      </c>
    </row>
    <row r="107" spans="1:15" ht="13.5" customHeight="1" x14ac:dyDescent="0.25">
      <c r="A107" s="105">
        <v>56007</v>
      </c>
      <c r="B107" s="105" t="s">
        <v>299</v>
      </c>
      <c r="C107" s="102">
        <v>266</v>
      </c>
      <c r="D107" s="104">
        <v>0</v>
      </c>
      <c r="E107" s="101">
        <f t="shared" si="27"/>
        <v>12.494999999999999</v>
      </c>
      <c r="F107" s="101">
        <f t="shared" si="28"/>
        <v>21.288515406162468</v>
      </c>
      <c r="G107" s="101">
        <f t="shared" si="29"/>
        <v>0</v>
      </c>
      <c r="H107" s="101">
        <f t="shared" si="30"/>
        <v>21.288515406162468</v>
      </c>
      <c r="I107" s="99">
        <f t="shared" si="31"/>
        <v>63380.2284</v>
      </c>
      <c r="J107" s="99">
        <f t="shared" si="32"/>
        <v>1349270.9687394958</v>
      </c>
      <c r="K107" s="99">
        <f t="shared" si="33"/>
        <v>427314.11579979828</v>
      </c>
      <c r="L107" s="99">
        <v>0</v>
      </c>
      <c r="M107" s="99">
        <f t="shared" si="34"/>
        <v>1776585.0845392942</v>
      </c>
      <c r="N107" s="99">
        <v>0</v>
      </c>
      <c r="O107" s="99">
        <f t="shared" si="35"/>
        <v>1776585.0845392942</v>
      </c>
    </row>
    <row r="108" spans="1:15" ht="13.5" customHeight="1" x14ac:dyDescent="0.25">
      <c r="A108" s="105">
        <v>23003</v>
      </c>
      <c r="B108" s="105" t="s">
        <v>300</v>
      </c>
      <c r="C108" s="102">
        <v>136</v>
      </c>
      <c r="D108" s="104">
        <v>0</v>
      </c>
      <c r="E108" s="101">
        <f t="shared" si="27"/>
        <v>12</v>
      </c>
      <c r="F108" s="101">
        <f t="shared" si="28"/>
        <v>11.333333333333334</v>
      </c>
      <c r="G108" s="101">
        <f t="shared" si="29"/>
        <v>0</v>
      </c>
      <c r="H108" s="101">
        <f t="shared" si="30"/>
        <v>11.333333333333334</v>
      </c>
      <c r="I108" s="99">
        <f t="shared" si="31"/>
        <v>63380.2284</v>
      </c>
      <c r="J108" s="99">
        <f t="shared" si="32"/>
        <v>718309.25520000001</v>
      </c>
      <c r="K108" s="99">
        <f t="shared" si="33"/>
        <v>227488.54112183998</v>
      </c>
      <c r="L108" s="99">
        <v>0</v>
      </c>
      <c r="M108" s="99">
        <f t="shared" si="34"/>
        <v>945797.79632184003</v>
      </c>
      <c r="N108" s="99">
        <v>0</v>
      </c>
      <c r="O108" s="99">
        <f t="shared" si="35"/>
        <v>945797.79632184003</v>
      </c>
    </row>
    <row r="109" spans="1:15" ht="13.5" customHeight="1" x14ac:dyDescent="0.25">
      <c r="A109" s="105">
        <v>65001</v>
      </c>
      <c r="B109" s="105" t="s">
        <v>373</v>
      </c>
      <c r="C109" s="102">
        <v>1339.16</v>
      </c>
      <c r="D109" s="104">
        <v>2</v>
      </c>
      <c r="E109" s="101">
        <f t="shared" si="27"/>
        <v>15</v>
      </c>
      <c r="F109" s="101">
        <f t="shared" si="28"/>
        <v>89.277333333333345</v>
      </c>
      <c r="G109" s="101">
        <f t="shared" si="29"/>
        <v>0.13333333333333333</v>
      </c>
      <c r="H109" s="101">
        <f t="shared" si="30"/>
        <v>89.410666666666685</v>
      </c>
      <c r="I109" s="99">
        <f t="shared" si="31"/>
        <v>63380.2284</v>
      </c>
      <c r="J109" s="99">
        <f t="shared" si="32"/>
        <v>5666868.4747296013</v>
      </c>
      <c r="K109" s="99">
        <f t="shared" si="33"/>
        <v>1794697.2459468646</v>
      </c>
      <c r="L109" s="99">
        <v>0</v>
      </c>
      <c r="M109" s="99">
        <f t="shared" si="34"/>
        <v>7461565.7206764659</v>
      </c>
      <c r="N109" s="99">
        <v>0</v>
      </c>
      <c r="O109" s="99">
        <f t="shared" si="35"/>
        <v>7461565.7206764659</v>
      </c>
    </row>
    <row r="110" spans="1:15" ht="13.5" customHeight="1" x14ac:dyDescent="0.25">
      <c r="A110" s="105">
        <v>39005</v>
      </c>
      <c r="B110" s="105" t="s">
        <v>302</v>
      </c>
      <c r="C110" s="102">
        <v>170</v>
      </c>
      <c r="D110" s="104">
        <v>3</v>
      </c>
      <c r="E110" s="101">
        <f t="shared" si="27"/>
        <v>12</v>
      </c>
      <c r="F110" s="101">
        <f t="shared" si="28"/>
        <v>14.166666666666666</v>
      </c>
      <c r="G110" s="101">
        <f t="shared" si="29"/>
        <v>0.25</v>
      </c>
      <c r="H110" s="101">
        <f t="shared" si="30"/>
        <v>14.416666666666666</v>
      </c>
      <c r="I110" s="99">
        <f t="shared" si="31"/>
        <v>63380.2284</v>
      </c>
      <c r="J110" s="99">
        <f t="shared" si="32"/>
        <v>913731.62609999999</v>
      </c>
      <c r="K110" s="99">
        <f t="shared" si="33"/>
        <v>289378.80598586996</v>
      </c>
      <c r="L110" s="99">
        <v>0</v>
      </c>
      <c r="M110" s="99">
        <f t="shared" si="34"/>
        <v>1203110.4320858698</v>
      </c>
      <c r="N110" s="99">
        <v>0</v>
      </c>
      <c r="O110" s="99">
        <f t="shared" si="35"/>
        <v>1203110.4320858698</v>
      </c>
    </row>
    <row r="111" spans="1:15" ht="13.5" customHeight="1" x14ac:dyDescent="0.25">
      <c r="A111" s="105">
        <v>60004</v>
      </c>
      <c r="B111" s="105" t="s">
        <v>303</v>
      </c>
      <c r="C111" s="102">
        <v>437</v>
      </c>
      <c r="D111" s="104">
        <v>2</v>
      </c>
      <c r="E111" s="101">
        <f t="shared" si="27"/>
        <v>13.7775</v>
      </c>
      <c r="F111" s="101">
        <f t="shared" si="28"/>
        <v>31.718381418980222</v>
      </c>
      <c r="G111" s="101">
        <f t="shared" si="29"/>
        <v>0.14516421702050444</v>
      </c>
      <c r="H111" s="101">
        <f t="shared" si="30"/>
        <v>31.863545636000726</v>
      </c>
      <c r="I111" s="99">
        <f t="shared" si="31"/>
        <v>63380.2284</v>
      </c>
      <c r="J111" s="99">
        <f t="shared" si="32"/>
        <v>2019518.8000435494</v>
      </c>
      <c r="K111" s="99">
        <f t="shared" si="33"/>
        <v>639581.60397379205</v>
      </c>
      <c r="L111" s="99">
        <v>0</v>
      </c>
      <c r="M111" s="99">
        <f t="shared" si="34"/>
        <v>2659100.4040173413</v>
      </c>
      <c r="N111" s="99">
        <v>0</v>
      </c>
      <c r="O111" s="99">
        <f t="shared" si="35"/>
        <v>2659100.4040173413</v>
      </c>
    </row>
    <row r="112" spans="1:15" ht="13.5" customHeight="1" x14ac:dyDescent="0.25">
      <c r="A112" s="105">
        <v>33003</v>
      </c>
      <c r="B112" s="105" t="s">
        <v>304</v>
      </c>
      <c r="C112" s="102">
        <v>534</v>
      </c>
      <c r="D112" s="104">
        <v>3</v>
      </c>
      <c r="E112" s="101">
        <f>(((C112-20.6)*0.0075)+10.5)</f>
        <v>14.3505</v>
      </c>
      <c r="F112" s="101">
        <f t="shared" si="28"/>
        <v>37.211246994878223</v>
      </c>
      <c r="G112" s="101">
        <f t="shared" si="29"/>
        <v>0.20905194940942823</v>
      </c>
      <c r="H112" s="101">
        <f t="shared" si="30"/>
        <v>37.420298944287651</v>
      </c>
      <c r="I112" s="99">
        <f t="shared" si="31"/>
        <v>63380.2284</v>
      </c>
      <c r="J112" s="99">
        <f t="shared" si="32"/>
        <v>2371707.0938852304</v>
      </c>
      <c r="K112" s="99">
        <f t="shared" si="33"/>
        <v>751119.63663345238</v>
      </c>
      <c r="L112" s="99">
        <v>0</v>
      </c>
      <c r="M112" s="99">
        <f t="shared" si="34"/>
        <v>3122826.7305186829</v>
      </c>
      <c r="N112" s="99">
        <v>0</v>
      </c>
      <c r="O112" s="99">
        <f t="shared" si="35"/>
        <v>3122826.7305186829</v>
      </c>
    </row>
    <row r="113" spans="1:15" ht="13.5" customHeight="1" x14ac:dyDescent="0.25">
      <c r="A113" s="105">
        <v>32002</v>
      </c>
      <c r="B113" s="105" t="s">
        <v>305</v>
      </c>
      <c r="C113" s="102">
        <v>2669</v>
      </c>
      <c r="D113" s="104">
        <v>2.25</v>
      </c>
      <c r="E113" s="101">
        <f>IF(C113&lt;200,12,IF(C113&gt;600,15,(C113*0.0075)+10.5))</f>
        <v>15</v>
      </c>
      <c r="F113" s="101">
        <f t="shared" si="28"/>
        <v>177.93333333333334</v>
      </c>
      <c r="G113" s="101">
        <f t="shared" si="29"/>
        <v>0.15</v>
      </c>
      <c r="H113" s="101">
        <f t="shared" si="30"/>
        <v>178.08333333333334</v>
      </c>
      <c r="I113" s="99">
        <f t="shared" si="31"/>
        <v>63380.2284</v>
      </c>
      <c r="J113" s="99">
        <f t="shared" si="32"/>
        <v>11286962.3409</v>
      </c>
      <c r="K113" s="99">
        <f t="shared" si="33"/>
        <v>3574580.9733630298</v>
      </c>
      <c r="L113" s="99">
        <v>7722</v>
      </c>
      <c r="M113" s="99">
        <f t="shared" si="34"/>
        <v>14869265.314263031</v>
      </c>
      <c r="N113" s="99">
        <v>0</v>
      </c>
      <c r="O113" s="99">
        <f t="shared" si="35"/>
        <v>14869265.314263031</v>
      </c>
    </row>
    <row r="114" spans="1:15" ht="13.5" customHeight="1" x14ac:dyDescent="0.25">
      <c r="A114" s="105">
        <v>1001</v>
      </c>
      <c r="B114" s="105" t="s">
        <v>306</v>
      </c>
      <c r="C114" s="102">
        <v>341</v>
      </c>
      <c r="D114" s="104">
        <v>7</v>
      </c>
      <c r="E114" s="101">
        <f>(((C114-40))*0.0075)+10.5</f>
        <v>12.7575</v>
      </c>
      <c r="F114" s="101">
        <f t="shared" si="28"/>
        <v>26.729374877523025</v>
      </c>
      <c r="G114" s="101">
        <f t="shared" si="29"/>
        <v>0.54869684499314131</v>
      </c>
      <c r="H114" s="101">
        <f t="shared" si="30"/>
        <v>27.278071722516167</v>
      </c>
      <c r="I114" s="99">
        <f t="shared" si="31"/>
        <v>63380.2284</v>
      </c>
      <c r="J114" s="99">
        <f t="shared" si="32"/>
        <v>1728890.416084656</v>
      </c>
      <c r="K114" s="99">
        <f t="shared" si="33"/>
        <v>547539.59477401047</v>
      </c>
      <c r="L114" s="99">
        <v>0</v>
      </c>
      <c r="M114" s="99">
        <f t="shared" si="34"/>
        <v>2276430.0108586666</v>
      </c>
      <c r="N114" s="99">
        <v>0</v>
      </c>
      <c r="O114" s="99">
        <f t="shared" si="35"/>
        <v>2276430.0108586666</v>
      </c>
    </row>
    <row r="115" spans="1:15" ht="13.5" customHeight="1" x14ac:dyDescent="0.25">
      <c r="A115" s="105">
        <v>11005</v>
      </c>
      <c r="B115" s="105" t="s">
        <v>307</v>
      </c>
      <c r="C115" s="102">
        <v>503.37</v>
      </c>
      <c r="D115" s="104">
        <v>5.5</v>
      </c>
      <c r="E115" s="101">
        <f t="shared" ref="E115:E154" si="36">IF(C115&lt;200,12,IF(C115&gt;600,15,(C115*0.0075)+10.5))</f>
        <v>14.275275000000001</v>
      </c>
      <c r="F115" s="101">
        <f t="shared" si="28"/>
        <v>35.261667463498952</v>
      </c>
      <c r="G115" s="101">
        <f t="shared" si="29"/>
        <v>0.38528154448863505</v>
      </c>
      <c r="H115" s="101">
        <f t="shared" si="30"/>
        <v>35.646949007987587</v>
      </c>
      <c r="I115" s="99">
        <f t="shared" si="31"/>
        <v>63380.2284</v>
      </c>
      <c r="J115" s="99">
        <f t="shared" si="32"/>
        <v>2259311.7698894069</v>
      </c>
      <c r="K115" s="99">
        <f t="shared" si="33"/>
        <v>715524.03752397513</v>
      </c>
      <c r="L115" s="99">
        <v>0</v>
      </c>
      <c r="M115" s="99">
        <f t="shared" si="34"/>
        <v>2974835.807413382</v>
      </c>
      <c r="N115" s="99">
        <v>0</v>
      </c>
      <c r="O115" s="99">
        <f t="shared" si="35"/>
        <v>2974835.807413382</v>
      </c>
    </row>
    <row r="116" spans="1:15" ht="13.5" customHeight="1" x14ac:dyDescent="0.25">
      <c r="A116" s="105">
        <v>51004</v>
      </c>
      <c r="B116" s="105" t="s">
        <v>372</v>
      </c>
      <c r="C116" s="102">
        <v>13679.67</v>
      </c>
      <c r="D116" s="104">
        <v>15.75</v>
      </c>
      <c r="E116" s="101">
        <f t="shared" si="36"/>
        <v>15</v>
      </c>
      <c r="F116" s="101">
        <f t="shared" si="28"/>
        <v>911.97799999999995</v>
      </c>
      <c r="G116" s="101">
        <f t="shared" si="29"/>
        <v>1.05</v>
      </c>
      <c r="H116" s="101">
        <f t="shared" si="30"/>
        <v>913.02799999999991</v>
      </c>
      <c r="I116" s="99">
        <f t="shared" si="31"/>
        <v>63380.2284</v>
      </c>
      <c r="J116" s="99">
        <f t="shared" si="32"/>
        <v>57867923.175595194</v>
      </c>
      <c r="K116" s="99">
        <f t="shared" si="33"/>
        <v>18326771.269710995</v>
      </c>
      <c r="L116" s="99">
        <v>32146</v>
      </c>
      <c r="M116" s="99">
        <f t="shared" si="34"/>
        <v>76226840.445306182</v>
      </c>
      <c r="N116" s="99">
        <v>0</v>
      </c>
      <c r="O116" s="99">
        <f t="shared" si="35"/>
        <v>76226840.445306182</v>
      </c>
    </row>
    <row r="117" spans="1:15" ht="13.5" customHeight="1" x14ac:dyDescent="0.25">
      <c r="A117" s="105">
        <v>56004</v>
      </c>
      <c r="B117" s="105" t="s">
        <v>309</v>
      </c>
      <c r="C117" s="102">
        <v>591.65</v>
      </c>
      <c r="D117" s="104">
        <v>0.75</v>
      </c>
      <c r="E117" s="101">
        <f t="shared" si="36"/>
        <v>14.937374999999999</v>
      </c>
      <c r="F117" s="101">
        <f t="shared" si="28"/>
        <v>39.608699654390414</v>
      </c>
      <c r="G117" s="101">
        <f t="shared" si="29"/>
        <v>5.0209625185147995E-2</v>
      </c>
      <c r="H117" s="101">
        <f t="shared" si="30"/>
        <v>39.65890927957556</v>
      </c>
      <c r="I117" s="99">
        <f t="shared" si="31"/>
        <v>63380.2284</v>
      </c>
      <c r="J117" s="99">
        <f t="shared" si="32"/>
        <v>2513590.7282343786</v>
      </c>
      <c r="K117" s="99">
        <f t="shared" si="33"/>
        <v>796054.18363182771</v>
      </c>
      <c r="L117" s="99">
        <v>0</v>
      </c>
      <c r="M117" s="99">
        <f t="shared" si="34"/>
        <v>3309644.9118662062</v>
      </c>
      <c r="N117" s="99">
        <v>0</v>
      </c>
      <c r="O117" s="99">
        <f t="shared" si="35"/>
        <v>3309644.9118662062</v>
      </c>
    </row>
    <row r="118" spans="1:15" ht="13.5" customHeight="1" x14ac:dyDescent="0.25">
      <c r="A118" s="105">
        <v>54004</v>
      </c>
      <c r="B118" s="105" t="s">
        <v>310</v>
      </c>
      <c r="C118" s="102">
        <v>249</v>
      </c>
      <c r="D118" s="104">
        <v>3.5</v>
      </c>
      <c r="E118" s="101">
        <f t="shared" si="36"/>
        <v>12.3675</v>
      </c>
      <c r="F118" s="101">
        <f t="shared" si="28"/>
        <v>20.133414190418435</v>
      </c>
      <c r="G118" s="101">
        <f t="shared" si="29"/>
        <v>0.28299979785728724</v>
      </c>
      <c r="H118" s="101">
        <f t="shared" si="30"/>
        <v>20.416413988275721</v>
      </c>
      <c r="I118" s="99">
        <f t="shared" si="31"/>
        <v>63380.2284</v>
      </c>
      <c r="J118" s="99">
        <f t="shared" si="32"/>
        <v>1293996.9816858701</v>
      </c>
      <c r="K118" s="99">
        <f t="shared" si="33"/>
        <v>409808.84409991506</v>
      </c>
      <c r="L118" s="99">
        <v>0</v>
      </c>
      <c r="M118" s="99">
        <f t="shared" si="34"/>
        <v>1703805.8257857852</v>
      </c>
      <c r="N118" s="99">
        <v>0</v>
      </c>
      <c r="O118" s="99">
        <f t="shared" si="35"/>
        <v>1703805.8257857852</v>
      </c>
    </row>
    <row r="119" spans="1:15" ht="13.5" customHeight="1" x14ac:dyDescent="0.25">
      <c r="A119" s="105">
        <v>39004</v>
      </c>
      <c r="B119" s="105" t="s">
        <v>311</v>
      </c>
      <c r="C119" s="102">
        <v>187</v>
      </c>
      <c r="D119" s="104">
        <v>3.25</v>
      </c>
      <c r="E119" s="101">
        <f t="shared" si="36"/>
        <v>12</v>
      </c>
      <c r="F119" s="101">
        <f t="shared" si="28"/>
        <v>15.583333333333334</v>
      </c>
      <c r="G119" s="101">
        <f t="shared" si="29"/>
        <v>0.27083333333333331</v>
      </c>
      <c r="H119" s="101">
        <f t="shared" si="30"/>
        <v>15.854166666666668</v>
      </c>
      <c r="I119" s="99">
        <f t="shared" si="31"/>
        <v>63380.2284</v>
      </c>
      <c r="J119" s="99">
        <f t="shared" si="32"/>
        <v>1004840.7044250001</v>
      </c>
      <c r="K119" s="99">
        <f t="shared" si="33"/>
        <v>318233.05109139753</v>
      </c>
      <c r="L119" s="99">
        <v>0</v>
      </c>
      <c r="M119" s="99">
        <f t="shared" si="34"/>
        <v>1323073.7555163978</v>
      </c>
      <c r="N119" s="99">
        <v>0</v>
      </c>
      <c r="O119" s="99">
        <f t="shared" si="35"/>
        <v>1323073.7555163978</v>
      </c>
    </row>
    <row r="120" spans="1:15" ht="13.5" customHeight="1" x14ac:dyDescent="0.25">
      <c r="A120" s="105">
        <v>55005</v>
      </c>
      <c r="B120" s="105" t="s">
        <v>312</v>
      </c>
      <c r="C120" s="102">
        <v>189</v>
      </c>
      <c r="D120" s="104">
        <v>1.5</v>
      </c>
      <c r="E120" s="101">
        <f t="shared" si="36"/>
        <v>12</v>
      </c>
      <c r="F120" s="101">
        <f t="shared" si="28"/>
        <v>15.75</v>
      </c>
      <c r="G120" s="101">
        <f t="shared" si="29"/>
        <v>0.125</v>
      </c>
      <c r="H120" s="101">
        <f t="shared" si="30"/>
        <v>15.875</v>
      </c>
      <c r="I120" s="99">
        <f t="shared" si="31"/>
        <v>63380.2284</v>
      </c>
      <c r="J120" s="99">
        <f t="shared" si="32"/>
        <v>1006161.12585</v>
      </c>
      <c r="K120" s="99">
        <f t="shared" si="33"/>
        <v>318651.22855669499</v>
      </c>
      <c r="L120" s="99">
        <v>0</v>
      </c>
      <c r="M120" s="99">
        <f t="shared" si="34"/>
        <v>1324812.3544066949</v>
      </c>
      <c r="N120" s="99">
        <v>0</v>
      </c>
      <c r="O120" s="99">
        <f t="shared" si="35"/>
        <v>1324812.3544066949</v>
      </c>
    </row>
    <row r="121" spans="1:15" ht="13.5" customHeight="1" x14ac:dyDescent="0.25">
      <c r="A121" s="105">
        <v>4003</v>
      </c>
      <c r="B121" s="105" t="s">
        <v>313</v>
      </c>
      <c r="C121" s="102">
        <v>253</v>
      </c>
      <c r="D121" s="104">
        <v>0.5</v>
      </c>
      <c r="E121" s="101">
        <f t="shared" si="36"/>
        <v>12.397500000000001</v>
      </c>
      <c r="F121" s="101">
        <f t="shared" si="28"/>
        <v>20.407340189554343</v>
      </c>
      <c r="G121" s="101">
        <f t="shared" si="29"/>
        <v>4.0330711837063923E-2</v>
      </c>
      <c r="H121" s="101">
        <f t="shared" si="30"/>
        <v>20.447670901391408</v>
      </c>
      <c r="I121" s="99">
        <f t="shared" si="31"/>
        <v>63380.2284</v>
      </c>
      <c r="J121" s="99">
        <f t="shared" si="32"/>
        <v>1295978.0519782214</v>
      </c>
      <c r="K121" s="99">
        <f t="shared" si="33"/>
        <v>410436.24906150269</v>
      </c>
      <c r="L121" s="99">
        <v>0</v>
      </c>
      <c r="M121" s="99">
        <f t="shared" si="34"/>
        <v>1706414.3010397241</v>
      </c>
      <c r="N121" s="99">
        <v>0</v>
      </c>
      <c r="O121" s="99">
        <f t="shared" si="35"/>
        <v>1706414.3010397241</v>
      </c>
    </row>
    <row r="122" spans="1:15" ht="13.5" customHeight="1" x14ac:dyDescent="0.25">
      <c r="A122" s="105">
        <v>62005</v>
      </c>
      <c r="B122" s="105" t="s">
        <v>371</v>
      </c>
      <c r="C122" s="102">
        <v>183</v>
      </c>
      <c r="D122" s="104">
        <v>0</v>
      </c>
      <c r="E122" s="101">
        <f t="shared" si="36"/>
        <v>12</v>
      </c>
      <c r="F122" s="101">
        <f t="shared" si="28"/>
        <v>15.25</v>
      </c>
      <c r="G122" s="101">
        <f t="shared" si="29"/>
        <v>0</v>
      </c>
      <c r="H122" s="101">
        <f t="shared" si="30"/>
        <v>15.25</v>
      </c>
      <c r="I122" s="99">
        <f t="shared" si="31"/>
        <v>63380.2284</v>
      </c>
      <c r="J122" s="99">
        <f t="shared" si="32"/>
        <v>966548.48309999995</v>
      </c>
      <c r="K122" s="99">
        <f t="shared" si="33"/>
        <v>306105.90459776996</v>
      </c>
      <c r="L122" s="99">
        <v>0</v>
      </c>
      <c r="M122" s="99">
        <f t="shared" si="34"/>
        <v>1272654.3876977698</v>
      </c>
      <c r="N122" s="99">
        <v>0</v>
      </c>
      <c r="O122" s="99">
        <f t="shared" si="35"/>
        <v>1272654.3876977698</v>
      </c>
    </row>
    <row r="123" spans="1:15" ht="13.5" customHeight="1" x14ac:dyDescent="0.25">
      <c r="A123" s="105">
        <v>49005</v>
      </c>
      <c r="B123" s="105" t="s">
        <v>315</v>
      </c>
      <c r="C123" s="102">
        <v>24024.78</v>
      </c>
      <c r="D123" s="104">
        <v>457.75</v>
      </c>
      <c r="E123" s="101">
        <f t="shared" si="36"/>
        <v>15</v>
      </c>
      <c r="F123" s="101">
        <f t="shared" si="28"/>
        <v>1601.6519999999998</v>
      </c>
      <c r="G123" s="101">
        <f t="shared" si="29"/>
        <v>30.516666666666666</v>
      </c>
      <c r="H123" s="101">
        <f t="shared" si="30"/>
        <v>1632.1686666666665</v>
      </c>
      <c r="I123" s="99">
        <f t="shared" si="31"/>
        <v>63380.2284</v>
      </c>
      <c r="J123" s="99">
        <f t="shared" si="32"/>
        <v>103447222.88065679</v>
      </c>
      <c r="K123" s="99">
        <f t="shared" si="33"/>
        <v>32761735.486304004</v>
      </c>
      <c r="L123" s="99">
        <v>48024</v>
      </c>
      <c r="M123" s="99">
        <f t="shared" si="34"/>
        <v>136256982.36696079</v>
      </c>
      <c r="N123" s="99">
        <v>0</v>
      </c>
      <c r="O123" s="99">
        <f t="shared" si="35"/>
        <v>136256982.36696079</v>
      </c>
    </row>
    <row r="124" spans="1:15" ht="13.5" customHeight="1" x14ac:dyDescent="0.25">
      <c r="A124" s="105">
        <v>5005</v>
      </c>
      <c r="B124" s="105" t="s">
        <v>316</v>
      </c>
      <c r="C124" s="102">
        <v>682.67</v>
      </c>
      <c r="D124" s="104">
        <v>3.75</v>
      </c>
      <c r="E124" s="101">
        <f t="shared" si="36"/>
        <v>15</v>
      </c>
      <c r="F124" s="101">
        <f t="shared" si="28"/>
        <v>45.511333333333333</v>
      </c>
      <c r="G124" s="101">
        <f t="shared" si="29"/>
        <v>0.25</v>
      </c>
      <c r="H124" s="101">
        <f t="shared" si="30"/>
        <v>45.761333333333333</v>
      </c>
      <c r="I124" s="99">
        <f t="shared" si="31"/>
        <v>63380.2284</v>
      </c>
      <c r="J124" s="99">
        <f t="shared" si="32"/>
        <v>2900363.7585552</v>
      </c>
      <c r="K124" s="99">
        <f t="shared" si="33"/>
        <v>918545.20233443181</v>
      </c>
      <c r="L124" s="99">
        <v>0</v>
      </c>
      <c r="M124" s="99">
        <f t="shared" si="34"/>
        <v>3818908.9608896319</v>
      </c>
      <c r="N124" s="99">
        <v>0</v>
      </c>
      <c r="O124" s="99">
        <f t="shared" si="35"/>
        <v>3818908.9608896319</v>
      </c>
    </row>
    <row r="125" spans="1:15" ht="13.5" customHeight="1" x14ac:dyDescent="0.25">
      <c r="A125" s="105">
        <v>54002</v>
      </c>
      <c r="B125" s="105" t="s">
        <v>317</v>
      </c>
      <c r="C125" s="102">
        <v>897</v>
      </c>
      <c r="D125" s="104">
        <v>4.5</v>
      </c>
      <c r="E125" s="101">
        <f t="shared" si="36"/>
        <v>15</v>
      </c>
      <c r="F125" s="101">
        <f t="shared" si="28"/>
        <v>59.8</v>
      </c>
      <c r="G125" s="101">
        <f t="shared" si="29"/>
        <v>0.3</v>
      </c>
      <c r="H125" s="101">
        <f t="shared" si="30"/>
        <v>60.099999999999994</v>
      </c>
      <c r="I125" s="99">
        <f t="shared" si="31"/>
        <v>63380.2284</v>
      </c>
      <c r="J125" s="99">
        <f t="shared" si="32"/>
        <v>3809151.7268399997</v>
      </c>
      <c r="K125" s="99">
        <f t="shared" si="33"/>
        <v>1206358.3518902278</v>
      </c>
      <c r="L125" s="99">
        <v>0</v>
      </c>
      <c r="M125" s="99">
        <f t="shared" si="34"/>
        <v>5015510.0787302274</v>
      </c>
      <c r="N125" s="99">
        <v>0</v>
      </c>
      <c r="O125" s="99">
        <f t="shared" si="35"/>
        <v>5015510.0787302274</v>
      </c>
    </row>
    <row r="126" spans="1:15" ht="13.5" customHeight="1" x14ac:dyDescent="0.25">
      <c r="A126" s="105">
        <v>15003</v>
      </c>
      <c r="B126" s="105" t="s">
        <v>318</v>
      </c>
      <c r="C126" s="102">
        <v>179</v>
      </c>
      <c r="D126" s="104">
        <v>1.5</v>
      </c>
      <c r="E126" s="101">
        <f t="shared" si="36"/>
        <v>12</v>
      </c>
      <c r="F126" s="101">
        <f t="shared" si="28"/>
        <v>14.916666666666666</v>
      </c>
      <c r="G126" s="101">
        <f t="shared" si="29"/>
        <v>0.125</v>
      </c>
      <c r="H126" s="101">
        <f t="shared" si="30"/>
        <v>15.041666666666666</v>
      </c>
      <c r="I126" s="99">
        <f t="shared" si="31"/>
        <v>63380.2284</v>
      </c>
      <c r="J126" s="99">
        <f t="shared" si="32"/>
        <v>953344.26884999999</v>
      </c>
      <c r="K126" s="99">
        <f t="shared" si="33"/>
        <v>301924.12994479499</v>
      </c>
      <c r="L126" s="99">
        <v>0</v>
      </c>
      <c r="M126" s="99">
        <f t="shared" si="34"/>
        <v>1255268.3987947949</v>
      </c>
      <c r="N126" s="99">
        <v>0</v>
      </c>
      <c r="O126" s="99">
        <f t="shared" si="35"/>
        <v>1255268.3987947949</v>
      </c>
    </row>
    <row r="127" spans="1:15" ht="13.5" customHeight="1" x14ac:dyDescent="0.25">
      <c r="A127" s="105">
        <v>26005</v>
      </c>
      <c r="B127" s="105" t="s">
        <v>319</v>
      </c>
      <c r="C127" s="102">
        <v>86</v>
      </c>
      <c r="D127" s="104">
        <v>0</v>
      </c>
      <c r="E127" s="101">
        <f t="shared" si="36"/>
        <v>12</v>
      </c>
      <c r="F127" s="101">
        <f t="shared" si="28"/>
        <v>7.166666666666667</v>
      </c>
      <c r="G127" s="101">
        <f t="shared" si="29"/>
        <v>0</v>
      </c>
      <c r="H127" s="101">
        <f t="shared" si="30"/>
        <v>7.166666666666667</v>
      </c>
      <c r="I127" s="99">
        <f t="shared" si="31"/>
        <v>63380.2284</v>
      </c>
      <c r="J127" s="99">
        <f t="shared" si="32"/>
        <v>454224.97020000004</v>
      </c>
      <c r="K127" s="99">
        <f t="shared" si="33"/>
        <v>143853.04806234001</v>
      </c>
      <c r="L127" s="99">
        <v>0</v>
      </c>
      <c r="M127" s="99">
        <f t="shared" si="34"/>
        <v>598078.01826233999</v>
      </c>
      <c r="N127" s="99">
        <v>0</v>
      </c>
      <c r="O127" s="99">
        <f t="shared" si="35"/>
        <v>598078.01826233999</v>
      </c>
    </row>
    <row r="128" spans="1:15" ht="13.5" customHeight="1" x14ac:dyDescent="0.25">
      <c r="A128" s="105">
        <v>40002</v>
      </c>
      <c r="B128" s="105" t="s">
        <v>320</v>
      </c>
      <c r="C128" s="102">
        <v>2390.0700000000002</v>
      </c>
      <c r="D128" s="104">
        <v>2.75</v>
      </c>
      <c r="E128" s="101">
        <f t="shared" si="36"/>
        <v>15</v>
      </c>
      <c r="F128" s="101">
        <f t="shared" si="28"/>
        <v>159.33800000000002</v>
      </c>
      <c r="G128" s="101">
        <f t="shared" si="29"/>
        <v>0.18333333333333332</v>
      </c>
      <c r="H128" s="101">
        <f t="shared" si="30"/>
        <v>159.52133333333336</v>
      </c>
      <c r="I128" s="99">
        <f t="shared" si="31"/>
        <v>63380.2284</v>
      </c>
      <c r="J128" s="99">
        <f t="shared" si="32"/>
        <v>10110498.541339202</v>
      </c>
      <c r="K128" s="99">
        <f t="shared" si="33"/>
        <v>3201994.8880421249</v>
      </c>
      <c r="L128" s="99">
        <v>0</v>
      </c>
      <c r="M128" s="99">
        <f t="shared" si="34"/>
        <v>13312493.429381326</v>
      </c>
      <c r="N128" s="99">
        <v>0</v>
      </c>
      <c r="O128" s="99">
        <f t="shared" si="35"/>
        <v>13312493.429381326</v>
      </c>
    </row>
    <row r="129" spans="1:15" ht="13.5" customHeight="1" x14ac:dyDescent="0.25">
      <c r="A129" s="105">
        <v>57001</v>
      </c>
      <c r="B129" s="105" t="s">
        <v>321</v>
      </c>
      <c r="C129" s="102">
        <v>435.86</v>
      </c>
      <c r="D129" s="104">
        <v>0</v>
      </c>
      <c r="E129" s="101">
        <f t="shared" si="36"/>
        <v>13.76895</v>
      </c>
      <c r="F129" s="101">
        <f t="shared" si="28"/>
        <v>31.655282356316203</v>
      </c>
      <c r="G129" s="101">
        <f t="shared" si="29"/>
        <v>0</v>
      </c>
      <c r="H129" s="101">
        <f t="shared" si="30"/>
        <v>31.655282356316203</v>
      </c>
      <c r="I129" s="99">
        <f t="shared" si="31"/>
        <v>63380.2284</v>
      </c>
      <c r="J129" s="99">
        <f t="shared" si="32"/>
        <v>2006319.0258098112</v>
      </c>
      <c r="K129" s="99">
        <f t="shared" si="33"/>
        <v>635401.23547396716</v>
      </c>
      <c r="L129" s="99">
        <v>0</v>
      </c>
      <c r="M129" s="99">
        <f t="shared" si="34"/>
        <v>2641720.2612837786</v>
      </c>
      <c r="N129" s="99">
        <v>0</v>
      </c>
      <c r="O129" s="99">
        <f t="shared" si="35"/>
        <v>2641720.2612837786</v>
      </c>
    </row>
    <row r="130" spans="1:15" ht="13.5" customHeight="1" x14ac:dyDescent="0.25">
      <c r="A130" s="105">
        <v>54006</v>
      </c>
      <c r="B130" s="105" t="s">
        <v>322</v>
      </c>
      <c r="C130" s="102">
        <v>158</v>
      </c>
      <c r="D130" s="104">
        <v>0.5</v>
      </c>
      <c r="E130" s="101">
        <f t="shared" si="36"/>
        <v>12</v>
      </c>
      <c r="F130" s="101">
        <f t="shared" si="28"/>
        <v>13.166666666666666</v>
      </c>
      <c r="G130" s="101">
        <f t="shared" si="29"/>
        <v>4.1666666666666664E-2</v>
      </c>
      <c r="H130" s="101">
        <f t="shared" si="30"/>
        <v>13.208333333333332</v>
      </c>
      <c r="I130" s="99">
        <f t="shared" si="31"/>
        <v>63380.2284</v>
      </c>
      <c r="J130" s="99">
        <f t="shared" si="32"/>
        <v>837147.18344999989</v>
      </c>
      <c r="K130" s="99">
        <f t="shared" si="33"/>
        <v>265124.51299861493</v>
      </c>
      <c r="L130" s="99">
        <v>0</v>
      </c>
      <c r="M130" s="99">
        <f t="shared" si="34"/>
        <v>1102271.6964486148</v>
      </c>
      <c r="N130" s="99">
        <v>0</v>
      </c>
      <c r="O130" s="99">
        <f t="shared" si="35"/>
        <v>1102271.6964486148</v>
      </c>
    </row>
    <row r="131" spans="1:15" ht="13.5" customHeight="1" x14ac:dyDescent="0.25">
      <c r="A131" s="105">
        <v>41005</v>
      </c>
      <c r="B131" s="105" t="s">
        <v>323</v>
      </c>
      <c r="C131" s="102">
        <v>1906.5</v>
      </c>
      <c r="D131" s="104">
        <v>6.25</v>
      </c>
      <c r="E131" s="101">
        <f t="shared" si="36"/>
        <v>15</v>
      </c>
      <c r="F131" s="101">
        <f t="shared" si="28"/>
        <v>127.1</v>
      </c>
      <c r="G131" s="101">
        <f t="shared" si="29"/>
        <v>0.41666666666666669</v>
      </c>
      <c r="H131" s="101">
        <f t="shared" si="30"/>
        <v>127.51666666666667</v>
      </c>
      <c r="I131" s="99">
        <f t="shared" si="31"/>
        <v>63380.2284</v>
      </c>
      <c r="J131" s="99">
        <f t="shared" si="32"/>
        <v>8082035.4581399998</v>
      </c>
      <c r="K131" s="99">
        <f t="shared" si="33"/>
        <v>2559580.6295929379</v>
      </c>
      <c r="L131" s="99">
        <v>0</v>
      </c>
      <c r="M131" s="99">
        <f t="shared" si="34"/>
        <v>10641616.087732937</v>
      </c>
      <c r="N131" s="99">
        <v>0</v>
      </c>
      <c r="O131" s="99">
        <f t="shared" si="35"/>
        <v>10641616.087732937</v>
      </c>
    </row>
    <row r="132" spans="1:15" ht="13.5" customHeight="1" x14ac:dyDescent="0.25">
      <c r="A132" s="105">
        <v>20003</v>
      </c>
      <c r="B132" s="105" t="s">
        <v>324</v>
      </c>
      <c r="C132" s="102">
        <v>335</v>
      </c>
      <c r="D132" s="104">
        <v>0</v>
      </c>
      <c r="E132" s="101">
        <f t="shared" si="36"/>
        <v>13.012499999999999</v>
      </c>
      <c r="F132" s="101">
        <f t="shared" si="28"/>
        <v>25.744476464937563</v>
      </c>
      <c r="G132" s="101">
        <f t="shared" si="29"/>
        <v>0</v>
      </c>
      <c r="H132" s="101">
        <f t="shared" si="30"/>
        <v>25.744476464937563</v>
      </c>
      <c r="I132" s="99">
        <f t="shared" si="31"/>
        <v>63380.2284</v>
      </c>
      <c r="J132" s="99">
        <f t="shared" si="32"/>
        <v>1631690.7983861673</v>
      </c>
      <c r="K132" s="99">
        <f t="shared" si="33"/>
        <v>516756.47584889916</v>
      </c>
      <c r="L132" s="99">
        <v>0</v>
      </c>
      <c r="M132" s="99">
        <f t="shared" si="34"/>
        <v>2148447.2742350665</v>
      </c>
      <c r="N132" s="99">
        <v>0</v>
      </c>
      <c r="O132" s="99">
        <f t="shared" si="35"/>
        <v>2148447.2742350665</v>
      </c>
    </row>
    <row r="133" spans="1:15" ht="13.5" customHeight="1" x14ac:dyDescent="0.25">
      <c r="A133" s="105">
        <v>66001</v>
      </c>
      <c r="B133" s="105" t="s">
        <v>325</v>
      </c>
      <c r="C133" s="102">
        <v>2106.8000000000002</v>
      </c>
      <c r="D133" s="104">
        <v>3.5</v>
      </c>
      <c r="E133" s="101">
        <f t="shared" si="36"/>
        <v>15</v>
      </c>
      <c r="F133" s="101">
        <f t="shared" si="28"/>
        <v>140.45333333333335</v>
      </c>
      <c r="G133" s="101">
        <f t="shared" si="29"/>
        <v>0.23333333333333334</v>
      </c>
      <c r="H133" s="101">
        <f t="shared" si="30"/>
        <v>140.68666666666667</v>
      </c>
      <c r="I133" s="99">
        <f t="shared" si="31"/>
        <v>63380.2284</v>
      </c>
      <c r="J133" s="99">
        <f t="shared" si="32"/>
        <v>8916753.0661680009</v>
      </c>
      <c r="K133" s="99">
        <f t="shared" si="33"/>
        <v>2823935.6960554058</v>
      </c>
      <c r="L133" s="99">
        <v>4061</v>
      </c>
      <c r="M133" s="99">
        <f t="shared" si="34"/>
        <v>11744749.762223408</v>
      </c>
      <c r="N133" s="99">
        <v>0</v>
      </c>
      <c r="O133" s="99">
        <f t="shared" si="35"/>
        <v>11744749.762223408</v>
      </c>
    </row>
    <row r="134" spans="1:15" ht="13.5" customHeight="1" x14ac:dyDescent="0.25">
      <c r="A134" s="105">
        <v>33005</v>
      </c>
      <c r="B134" s="105" t="s">
        <v>326</v>
      </c>
      <c r="C134" s="102">
        <v>130</v>
      </c>
      <c r="D134" s="104">
        <v>2.5</v>
      </c>
      <c r="E134" s="101">
        <f t="shared" si="36"/>
        <v>12</v>
      </c>
      <c r="F134" s="101">
        <f t="shared" ref="F134:F154" si="37">C134/E134</f>
        <v>10.833333333333334</v>
      </c>
      <c r="G134" s="101">
        <f t="shared" ref="G134:G154" si="38">D134/E134</f>
        <v>0.20833333333333334</v>
      </c>
      <c r="H134" s="101">
        <f t="shared" ref="H134:H154" si="39">F134+G134</f>
        <v>11.041666666666668</v>
      </c>
      <c r="I134" s="99">
        <f t="shared" ref="I134:I154" si="40">$I$4*1.29</f>
        <v>63380.2284</v>
      </c>
      <c r="J134" s="99">
        <f t="shared" ref="J134:J154" si="41">H134*I134</f>
        <v>699823.35525000002</v>
      </c>
      <c r="K134" s="99">
        <f t="shared" ref="K134:K154" si="42">J134*0.3167</f>
        <v>221634.05660767498</v>
      </c>
      <c r="L134" s="99">
        <v>0</v>
      </c>
      <c r="M134" s="99">
        <f t="shared" ref="M134:M154" si="43">J134+K134+L134</f>
        <v>921457.41185767506</v>
      </c>
      <c r="N134" s="99">
        <v>0</v>
      </c>
      <c r="O134" s="99">
        <f t="shared" ref="O134:O154" si="44">IF(N134=0,M134,N134)</f>
        <v>921457.41185767506</v>
      </c>
    </row>
    <row r="135" spans="1:15" ht="13.5" customHeight="1" x14ac:dyDescent="0.25">
      <c r="A135" s="105">
        <v>49006</v>
      </c>
      <c r="B135" s="105" t="s">
        <v>327</v>
      </c>
      <c r="C135" s="102">
        <v>968</v>
      </c>
      <c r="D135" s="104">
        <v>5.75</v>
      </c>
      <c r="E135" s="101">
        <f t="shared" si="36"/>
        <v>15</v>
      </c>
      <c r="F135" s="101">
        <f t="shared" si="37"/>
        <v>64.533333333333331</v>
      </c>
      <c r="G135" s="101">
        <f t="shared" si="38"/>
        <v>0.38333333333333336</v>
      </c>
      <c r="H135" s="101">
        <f t="shared" si="39"/>
        <v>64.916666666666671</v>
      </c>
      <c r="I135" s="99">
        <f t="shared" si="40"/>
        <v>63380.2284</v>
      </c>
      <c r="J135" s="99">
        <f t="shared" si="41"/>
        <v>4114433.1603000001</v>
      </c>
      <c r="K135" s="99">
        <f t="shared" si="42"/>
        <v>1303040.98186701</v>
      </c>
      <c r="L135" s="99">
        <v>0</v>
      </c>
      <c r="M135" s="99">
        <f t="shared" si="43"/>
        <v>5417474.1421670103</v>
      </c>
      <c r="N135" s="99">
        <v>0</v>
      </c>
      <c r="O135" s="99">
        <f t="shared" si="44"/>
        <v>5417474.1421670103</v>
      </c>
    </row>
    <row r="136" spans="1:15" ht="13.5" customHeight="1" x14ac:dyDescent="0.25">
      <c r="A136" s="105">
        <v>13001</v>
      </c>
      <c r="B136" s="105" t="s">
        <v>328</v>
      </c>
      <c r="C136" s="102">
        <v>1259.26</v>
      </c>
      <c r="D136" s="104">
        <v>2.75</v>
      </c>
      <c r="E136" s="101">
        <f t="shared" si="36"/>
        <v>15</v>
      </c>
      <c r="F136" s="101">
        <f t="shared" si="37"/>
        <v>83.950666666666663</v>
      </c>
      <c r="G136" s="101">
        <f t="shared" si="38"/>
        <v>0.18333333333333332</v>
      </c>
      <c r="H136" s="101">
        <f t="shared" si="39"/>
        <v>84.134</v>
      </c>
      <c r="I136" s="99">
        <f t="shared" si="40"/>
        <v>63380.2284</v>
      </c>
      <c r="J136" s="99">
        <f t="shared" si="41"/>
        <v>5332432.1362055996</v>
      </c>
      <c r="K136" s="99">
        <f t="shared" si="42"/>
        <v>1688781.2575363133</v>
      </c>
      <c r="L136" s="99">
        <v>0</v>
      </c>
      <c r="M136" s="99">
        <f t="shared" si="43"/>
        <v>7021213.3937419131</v>
      </c>
      <c r="N136" s="99">
        <v>0</v>
      </c>
      <c r="O136" s="99">
        <f t="shared" si="44"/>
        <v>7021213.3937419131</v>
      </c>
    </row>
    <row r="137" spans="1:15" ht="13.5" customHeight="1" x14ac:dyDescent="0.25">
      <c r="A137" s="105">
        <v>60006</v>
      </c>
      <c r="B137" s="105" t="s">
        <v>329</v>
      </c>
      <c r="C137" s="102">
        <v>346</v>
      </c>
      <c r="D137" s="104">
        <v>2.25</v>
      </c>
      <c r="E137" s="101">
        <f t="shared" si="36"/>
        <v>13.094999999999999</v>
      </c>
      <c r="F137" s="101">
        <f t="shared" si="37"/>
        <v>26.422298587247042</v>
      </c>
      <c r="G137" s="101">
        <f t="shared" si="38"/>
        <v>0.17182130584192443</v>
      </c>
      <c r="H137" s="101">
        <f t="shared" si="39"/>
        <v>26.594119893088966</v>
      </c>
      <c r="I137" s="99">
        <f t="shared" si="40"/>
        <v>63380.2284</v>
      </c>
      <c r="J137" s="99">
        <f t="shared" si="41"/>
        <v>1685541.3929209623</v>
      </c>
      <c r="K137" s="99">
        <f t="shared" si="42"/>
        <v>533810.95913806872</v>
      </c>
      <c r="L137" s="99">
        <v>0</v>
      </c>
      <c r="M137" s="99">
        <f t="shared" si="43"/>
        <v>2219352.3520590309</v>
      </c>
      <c r="N137" s="99">
        <v>0</v>
      </c>
      <c r="O137" s="99">
        <f t="shared" si="44"/>
        <v>2219352.3520590309</v>
      </c>
    </row>
    <row r="138" spans="1:15" ht="13.5" customHeight="1" x14ac:dyDescent="0.25">
      <c r="A138" s="105">
        <v>11004</v>
      </c>
      <c r="B138" s="105" t="s">
        <v>369</v>
      </c>
      <c r="C138" s="102">
        <v>839</v>
      </c>
      <c r="D138" s="104">
        <v>0.25</v>
      </c>
      <c r="E138" s="101">
        <f t="shared" si="36"/>
        <v>15</v>
      </c>
      <c r="F138" s="101">
        <f t="shared" si="37"/>
        <v>55.93333333333333</v>
      </c>
      <c r="G138" s="101">
        <f t="shared" si="38"/>
        <v>1.6666666666666666E-2</v>
      </c>
      <c r="H138" s="101">
        <f t="shared" si="39"/>
        <v>55.949999999999996</v>
      </c>
      <c r="I138" s="99">
        <f t="shared" si="40"/>
        <v>63380.2284</v>
      </c>
      <c r="J138" s="99">
        <f t="shared" si="41"/>
        <v>3546123.7789799999</v>
      </c>
      <c r="K138" s="99">
        <f t="shared" si="42"/>
        <v>1123057.400802966</v>
      </c>
      <c r="L138" s="99">
        <v>0</v>
      </c>
      <c r="M138" s="99">
        <f t="shared" si="43"/>
        <v>4669181.1797829662</v>
      </c>
      <c r="N138" s="99">
        <v>0</v>
      </c>
      <c r="O138" s="99">
        <f t="shared" si="44"/>
        <v>4669181.1797829662</v>
      </c>
    </row>
    <row r="139" spans="1:15" ht="13.5" customHeight="1" x14ac:dyDescent="0.25">
      <c r="A139" s="105">
        <v>51005</v>
      </c>
      <c r="B139" s="105" t="s">
        <v>331</v>
      </c>
      <c r="C139" s="102">
        <v>271</v>
      </c>
      <c r="D139" s="104">
        <v>0</v>
      </c>
      <c r="E139" s="101">
        <f t="shared" si="36"/>
        <v>12.532499999999999</v>
      </c>
      <c r="F139" s="101">
        <f t="shared" si="37"/>
        <v>21.623778176740476</v>
      </c>
      <c r="G139" s="101">
        <f t="shared" si="38"/>
        <v>0</v>
      </c>
      <c r="H139" s="101">
        <f t="shared" si="39"/>
        <v>21.623778176740476</v>
      </c>
      <c r="I139" s="99">
        <f t="shared" si="40"/>
        <v>63380.2284</v>
      </c>
      <c r="J139" s="99">
        <f t="shared" si="41"/>
        <v>1370519.9997127471</v>
      </c>
      <c r="K139" s="99">
        <f t="shared" si="42"/>
        <v>434043.68390902696</v>
      </c>
      <c r="L139" s="99">
        <v>0</v>
      </c>
      <c r="M139" s="99">
        <f t="shared" si="43"/>
        <v>1804563.683621774</v>
      </c>
      <c r="N139" s="99">
        <v>0</v>
      </c>
      <c r="O139" s="99">
        <f t="shared" si="44"/>
        <v>1804563.683621774</v>
      </c>
    </row>
    <row r="140" spans="1:15" ht="13.5" customHeight="1" x14ac:dyDescent="0.25">
      <c r="A140" s="105">
        <v>6005</v>
      </c>
      <c r="B140" s="105" t="s">
        <v>332</v>
      </c>
      <c r="C140" s="102">
        <v>310</v>
      </c>
      <c r="D140" s="104">
        <v>0.25</v>
      </c>
      <c r="E140" s="101">
        <f t="shared" si="36"/>
        <v>12.824999999999999</v>
      </c>
      <c r="F140" s="101">
        <f t="shared" si="37"/>
        <v>24.171539961013647</v>
      </c>
      <c r="G140" s="101">
        <f t="shared" si="38"/>
        <v>1.9493177387914232E-2</v>
      </c>
      <c r="H140" s="101">
        <f t="shared" si="39"/>
        <v>24.191033138401561</v>
      </c>
      <c r="I140" s="99">
        <f t="shared" si="40"/>
        <v>63380.2284</v>
      </c>
      <c r="J140" s="99">
        <f t="shared" si="41"/>
        <v>1533233.2055438599</v>
      </c>
      <c r="K140" s="99">
        <f t="shared" si="42"/>
        <v>485574.95619574038</v>
      </c>
      <c r="L140" s="99">
        <v>0</v>
      </c>
      <c r="M140" s="99">
        <f t="shared" si="43"/>
        <v>2018808.1617396004</v>
      </c>
      <c r="N140" s="99">
        <v>0</v>
      </c>
      <c r="O140" s="99">
        <f t="shared" si="44"/>
        <v>2018808.1617396004</v>
      </c>
    </row>
    <row r="141" spans="1:15" ht="13.5" customHeight="1" x14ac:dyDescent="0.25">
      <c r="A141" s="105">
        <v>14004</v>
      </c>
      <c r="B141" s="105" t="s">
        <v>333</v>
      </c>
      <c r="C141" s="102">
        <v>3927.97</v>
      </c>
      <c r="D141" s="104">
        <v>4.75</v>
      </c>
      <c r="E141" s="101">
        <f t="shared" si="36"/>
        <v>15</v>
      </c>
      <c r="F141" s="101">
        <f t="shared" si="37"/>
        <v>261.86466666666666</v>
      </c>
      <c r="G141" s="101">
        <f t="shared" si="38"/>
        <v>0.31666666666666665</v>
      </c>
      <c r="H141" s="101">
        <f t="shared" si="39"/>
        <v>262.18133333333333</v>
      </c>
      <c r="I141" s="99">
        <f t="shared" si="40"/>
        <v>63380.2284</v>
      </c>
      <c r="J141" s="99">
        <f t="shared" si="41"/>
        <v>16617112.7888832</v>
      </c>
      <c r="K141" s="99">
        <f t="shared" si="42"/>
        <v>5262639.620239309</v>
      </c>
      <c r="L141" s="99">
        <v>0</v>
      </c>
      <c r="M141" s="99">
        <f t="shared" si="43"/>
        <v>21879752.409122508</v>
      </c>
      <c r="N141" s="99">
        <v>0</v>
      </c>
      <c r="O141" s="99">
        <f t="shared" si="44"/>
        <v>21879752.409122508</v>
      </c>
    </row>
    <row r="142" spans="1:15" ht="13.5" customHeight="1" x14ac:dyDescent="0.25">
      <c r="A142" s="105">
        <v>18003</v>
      </c>
      <c r="B142" s="105" t="s">
        <v>334</v>
      </c>
      <c r="C142" s="102">
        <v>170</v>
      </c>
      <c r="D142" s="104">
        <v>0</v>
      </c>
      <c r="E142" s="101">
        <f t="shared" si="36"/>
        <v>12</v>
      </c>
      <c r="F142" s="101">
        <f t="shared" si="37"/>
        <v>14.166666666666666</v>
      </c>
      <c r="G142" s="101">
        <f t="shared" si="38"/>
        <v>0</v>
      </c>
      <c r="H142" s="101">
        <f t="shared" si="39"/>
        <v>14.166666666666666</v>
      </c>
      <c r="I142" s="99">
        <f t="shared" si="40"/>
        <v>63380.2284</v>
      </c>
      <c r="J142" s="99">
        <f t="shared" si="41"/>
        <v>897886.56900000002</v>
      </c>
      <c r="K142" s="99">
        <f t="shared" si="42"/>
        <v>284360.67640230001</v>
      </c>
      <c r="L142" s="99">
        <v>0</v>
      </c>
      <c r="M142" s="99">
        <f t="shared" si="43"/>
        <v>1182247.2454023</v>
      </c>
      <c r="N142" s="99">
        <v>0</v>
      </c>
      <c r="O142" s="99">
        <f t="shared" si="44"/>
        <v>1182247.2454023</v>
      </c>
    </row>
    <row r="143" spans="1:15" ht="13.5" customHeight="1" x14ac:dyDescent="0.25">
      <c r="A143" s="105">
        <v>14005</v>
      </c>
      <c r="B143" s="105" t="s">
        <v>335</v>
      </c>
      <c r="C143" s="102">
        <v>235</v>
      </c>
      <c r="D143" s="104">
        <v>0</v>
      </c>
      <c r="E143" s="101">
        <f t="shared" si="36"/>
        <v>12.262499999999999</v>
      </c>
      <c r="F143" s="101">
        <f t="shared" si="37"/>
        <v>19.164118246687057</v>
      </c>
      <c r="G143" s="101">
        <f t="shared" si="38"/>
        <v>0</v>
      </c>
      <c r="H143" s="101">
        <f t="shared" si="39"/>
        <v>19.164118246687057</v>
      </c>
      <c r="I143" s="99">
        <f t="shared" si="40"/>
        <v>63380.2284</v>
      </c>
      <c r="J143" s="99">
        <f t="shared" si="41"/>
        <v>1214626.1915596332</v>
      </c>
      <c r="K143" s="99">
        <f t="shared" si="42"/>
        <v>384672.11486693582</v>
      </c>
      <c r="L143" s="99">
        <v>0</v>
      </c>
      <c r="M143" s="99">
        <f t="shared" si="43"/>
        <v>1599298.3064265691</v>
      </c>
      <c r="N143" s="99">
        <v>0</v>
      </c>
      <c r="O143" s="99">
        <f t="shared" si="44"/>
        <v>1599298.3064265691</v>
      </c>
    </row>
    <row r="144" spans="1:15" ht="13.5" customHeight="1" x14ac:dyDescent="0.25">
      <c r="A144" s="105">
        <v>18005</v>
      </c>
      <c r="B144" s="105" t="s">
        <v>336</v>
      </c>
      <c r="C144" s="102">
        <v>542</v>
      </c>
      <c r="D144" s="104">
        <v>0.5</v>
      </c>
      <c r="E144" s="101">
        <f t="shared" si="36"/>
        <v>14.565</v>
      </c>
      <c r="F144" s="101">
        <f t="shared" si="37"/>
        <v>37.212495708891176</v>
      </c>
      <c r="G144" s="101">
        <f t="shared" si="38"/>
        <v>3.4328870580157912E-2</v>
      </c>
      <c r="H144" s="101">
        <f t="shared" si="39"/>
        <v>37.246824579471337</v>
      </c>
      <c r="I144" s="99">
        <f t="shared" si="40"/>
        <v>63380.2284</v>
      </c>
      <c r="J144" s="99">
        <f t="shared" si="41"/>
        <v>2360712.2490216275</v>
      </c>
      <c r="K144" s="99">
        <f t="shared" si="42"/>
        <v>747637.56926514942</v>
      </c>
      <c r="L144" s="99">
        <v>0</v>
      </c>
      <c r="M144" s="99">
        <f t="shared" si="43"/>
        <v>3108349.818286777</v>
      </c>
      <c r="N144" s="99">
        <v>0</v>
      </c>
      <c r="O144" s="99">
        <f t="shared" si="44"/>
        <v>3108349.818286777</v>
      </c>
    </row>
    <row r="145" spans="1:15" ht="13.5" customHeight="1" x14ac:dyDescent="0.25">
      <c r="A145" s="105">
        <v>36002</v>
      </c>
      <c r="B145" s="105" t="s">
        <v>337</v>
      </c>
      <c r="C145" s="102">
        <v>312.18</v>
      </c>
      <c r="D145" s="104">
        <v>5.25</v>
      </c>
      <c r="E145" s="101">
        <f t="shared" si="36"/>
        <v>12.84135</v>
      </c>
      <c r="F145" s="101">
        <f t="shared" si="37"/>
        <v>24.310528098681214</v>
      </c>
      <c r="G145" s="101">
        <f t="shared" si="38"/>
        <v>0.40883551962994547</v>
      </c>
      <c r="H145" s="101">
        <f t="shared" si="39"/>
        <v>24.71936361831116</v>
      </c>
      <c r="I145" s="99">
        <f t="shared" si="40"/>
        <v>63380.2284</v>
      </c>
      <c r="J145" s="99">
        <f t="shared" si="41"/>
        <v>1566718.9120312117</v>
      </c>
      <c r="K145" s="99">
        <f t="shared" si="42"/>
        <v>496179.87944028468</v>
      </c>
      <c r="L145" s="99">
        <v>0</v>
      </c>
      <c r="M145" s="99">
        <f t="shared" si="43"/>
        <v>2062898.7914714962</v>
      </c>
      <c r="N145" s="99">
        <v>0</v>
      </c>
      <c r="O145" s="99">
        <f t="shared" si="44"/>
        <v>2062898.7914714962</v>
      </c>
    </row>
    <row r="146" spans="1:15" ht="13.5" customHeight="1" x14ac:dyDescent="0.25">
      <c r="A146" s="105">
        <v>49007</v>
      </c>
      <c r="B146" s="105" t="s">
        <v>338</v>
      </c>
      <c r="C146" s="102">
        <v>1410.25</v>
      </c>
      <c r="D146" s="104">
        <v>1.75</v>
      </c>
      <c r="E146" s="101">
        <f t="shared" si="36"/>
        <v>15</v>
      </c>
      <c r="F146" s="101">
        <f t="shared" si="37"/>
        <v>94.016666666666666</v>
      </c>
      <c r="G146" s="101">
        <f t="shared" si="38"/>
        <v>0.11666666666666667</v>
      </c>
      <c r="H146" s="101">
        <f t="shared" si="39"/>
        <v>94.133333333333326</v>
      </c>
      <c r="I146" s="99">
        <f t="shared" si="40"/>
        <v>63380.2284</v>
      </c>
      <c r="J146" s="99">
        <f t="shared" si="41"/>
        <v>5966192.1667199992</v>
      </c>
      <c r="K146" s="99">
        <f t="shared" si="42"/>
        <v>1889493.0592002235</v>
      </c>
      <c r="L146" s="99">
        <v>0</v>
      </c>
      <c r="M146" s="99">
        <f t="shared" si="43"/>
        <v>7855685.2259202227</v>
      </c>
      <c r="N146" s="99">
        <v>0</v>
      </c>
      <c r="O146" s="99">
        <f t="shared" si="44"/>
        <v>7855685.2259202227</v>
      </c>
    </row>
    <row r="147" spans="1:15" ht="13.5" customHeight="1" x14ac:dyDescent="0.25">
      <c r="A147" s="105">
        <v>1003</v>
      </c>
      <c r="B147" s="105" t="s">
        <v>339</v>
      </c>
      <c r="C147" s="102">
        <v>119</v>
      </c>
      <c r="D147" s="104">
        <v>0</v>
      </c>
      <c r="E147" s="101">
        <f t="shared" si="36"/>
        <v>12</v>
      </c>
      <c r="F147" s="101">
        <f t="shared" si="37"/>
        <v>9.9166666666666661</v>
      </c>
      <c r="G147" s="101">
        <f t="shared" si="38"/>
        <v>0</v>
      </c>
      <c r="H147" s="101">
        <f t="shared" si="39"/>
        <v>9.9166666666666661</v>
      </c>
      <c r="I147" s="99">
        <f t="shared" si="40"/>
        <v>63380.2284</v>
      </c>
      <c r="J147" s="99">
        <f t="shared" si="41"/>
        <v>628520.59829999995</v>
      </c>
      <c r="K147" s="99">
        <f t="shared" si="42"/>
        <v>199052.47348160998</v>
      </c>
      <c r="L147" s="99">
        <v>0</v>
      </c>
      <c r="M147" s="99">
        <f t="shared" si="43"/>
        <v>827573.07178160991</v>
      </c>
      <c r="N147" s="99">
        <v>948177.3305454544</v>
      </c>
      <c r="O147" s="99">
        <f t="shared" si="44"/>
        <v>948177.3305454544</v>
      </c>
    </row>
    <row r="148" spans="1:15" ht="13.5" customHeight="1" x14ac:dyDescent="0.25">
      <c r="A148" s="105">
        <v>47001</v>
      </c>
      <c r="B148" s="105" t="s">
        <v>340</v>
      </c>
      <c r="C148" s="102">
        <v>412</v>
      </c>
      <c r="D148" s="104">
        <v>0</v>
      </c>
      <c r="E148" s="101">
        <f t="shared" si="36"/>
        <v>13.59</v>
      </c>
      <c r="F148" s="101">
        <f t="shared" si="37"/>
        <v>30.316409124356145</v>
      </c>
      <c r="G148" s="101">
        <f t="shared" si="38"/>
        <v>0</v>
      </c>
      <c r="H148" s="101">
        <f t="shared" si="39"/>
        <v>30.316409124356145</v>
      </c>
      <c r="I148" s="99">
        <f t="shared" si="40"/>
        <v>63380.2284</v>
      </c>
      <c r="J148" s="99">
        <f t="shared" si="41"/>
        <v>1921460.9345695365</v>
      </c>
      <c r="K148" s="99">
        <f t="shared" si="42"/>
        <v>608526.6779781722</v>
      </c>
      <c r="L148" s="99">
        <v>0</v>
      </c>
      <c r="M148" s="99">
        <f t="shared" si="43"/>
        <v>2529987.6125477087</v>
      </c>
      <c r="N148" s="99">
        <v>0</v>
      </c>
      <c r="O148" s="99">
        <f t="shared" si="44"/>
        <v>2529987.6125477087</v>
      </c>
    </row>
    <row r="149" spans="1:15" ht="13.5" customHeight="1" x14ac:dyDescent="0.25">
      <c r="A149" s="105">
        <v>12003</v>
      </c>
      <c r="B149" s="105" t="s">
        <v>341</v>
      </c>
      <c r="C149" s="102">
        <v>249</v>
      </c>
      <c r="D149" s="104">
        <v>8</v>
      </c>
      <c r="E149" s="101">
        <f t="shared" si="36"/>
        <v>12.3675</v>
      </c>
      <c r="F149" s="101">
        <f t="shared" si="37"/>
        <v>20.133414190418435</v>
      </c>
      <c r="G149" s="101">
        <f t="shared" si="38"/>
        <v>0.64685668081665659</v>
      </c>
      <c r="H149" s="101">
        <f t="shared" si="39"/>
        <v>20.780270871235093</v>
      </c>
      <c r="I149" s="99">
        <f t="shared" si="40"/>
        <v>63380.2284</v>
      </c>
      <c r="J149" s="99">
        <f t="shared" si="41"/>
        <v>1317058.3140327472</v>
      </c>
      <c r="K149" s="99">
        <f t="shared" si="42"/>
        <v>417112.36805417103</v>
      </c>
      <c r="L149" s="99">
        <v>0</v>
      </c>
      <c r="M149" s="99">
        <f t="shared" si="43"/>
        <v>1734170.6820869183</v>
      </c>
      <c r="N149" s="99">
        <v>0</v>
      </c>
      <c r="O149" s="99">
        <f t="shared" si="44"/>
        <v>1734170.6820869183</v>
      </c>
    </row>
    <row r="150" spans="1:15" ht="13.5" customHeight="1" x14ac:dyDescent="0.25">
      <c r="A150" s="105">
        <v>54007</v>
      </c>
      <c r="B150" s="105" t="s">
        <v>342</v>
      </c>
      <c r="C150" s="102">
        <v>223</v>
      </c>
      <c r="D150" s="104">
        <v>0</v>
      </c>
      <c r="E150" s="101">
        <f t="shared" si="36"/>
        <v>12.172499999999999</v>
      </c>
      <c r="F150" s="101">
        <f t="shared" si="37"/>
        <v>18.319983569521462</v>
      </c>
      <c r="G150" s="101">
        <f t="shared" si="38"/>
        <v>0</v>
      </c>
      <c r="H150" s="101">
        <f t="shared" si="39"/>
        <v>18.319983569521462</v>
      </c>
      <c r="I150" s="99">
        <f t="shared" si="40"/>
        <v>63380.2284</v>
      </c>
      <c r="J150" s="99">
        <f t="shared" si="41"/>
        <v>1161124.7429205175</v>
      </c>
      <c r="K150" s="99">
        <f t="shared" si="42"/>
        <v>367728.20608292788</v>
      </c>
      <c r="L150" s="99">
        <v>0</v>
      </c>
      <c r="M150" s="99">
        <f t="shared" si="43"/>
        <v>1528852.9490034455</v>
      </c>
      <c r="N150" s="99">
        <v>0</v>
      </c>
      <c r="O150" s="99">
        <f t="shared" si="44"/>
        <v>1528852.9490034455</v>
      </c>
    </row>
    <row r="151" spans="1:15" ht="13.5" customHeight="1" x14ac:dyDescent="0.25">
      <c r="A151" s="105">
        <v>59002</v>
      </c>
      <c r="B151" s="105" t="s">
        <v>343</v>
      </c>
      <c r="C151" s="102">
        <v>710</v>
      </c>
      <c r="D151" s="104">
        <v>0.25</v>
      </c>
      <c r="E151" s="101">
        <f t="shared" si="36"/>
        <v>15</v>
      </c>
      <c r="F151" s="101">
        <f t="shared" si="37"/>
        <v>47.333333333333336</v>
      </c>
      <c r="G151" s="101">
        <f t="shared" si="38"/>
        <v>1.6666666666666666E-2</v>
      </c>
      <c r="H151" s="101">
        <f t="shared" si="39"/>
        <v>47.35</v>
      </c>
      <c r="I151" s="99">
        <f t="shared" si="40"/>
        <v>63380.2284</v>
      </c>
      <c r="J151" s="99">
        <f t="shared" si="41"/>
        <v>3001053.8147400003</v>
      </c>
      <c r="K151" s="99">
        <f t="shared" si="42"/>
        <v>950433.74312815804</v>
      </c>
      <c r="L151" s="99">
        <v>0</v>
      </c>
      <c r="M151" s="99">
        <f t="shared" si="43"/>
        <v>3951487.5578681584</v>
      </c>
      <c r="N151" s="99">
        <v>0</v>
      </c>
      <c r="O151" s="99">
        <f t="shared" si="44"/>
        <v>3951487.5578681584</v>
      </c>
    </row>
    <row r="152" spans="1:15" ht="13.5" customHeight="1" x14ac:dyDescent="0.25">
      <c r="A152" s="106">
        <v>2006</v>
      </c>
      <c r="B152" s="105" t="s">
        <v>344</v>
      </c>
      <c r="C152" s="102">
        <v>346</v>
      </c>
      <c r="D152" s="104">
        <v>0.75</v>
      </c>
      <c r="E152" s="101">
        <f t="shared" si="36"/>
        <v>13.094999999999999</v>
      </c>
      <c r="F152" s="101">
        <f t="shared" si="37"/>
        <v>26.422298587247042</v>
      </c>
      <c r="G152" s="101">
        <f t="shared" si="38"/>
        <v>5.7273768613974804E-2</v>
      </c>
      <c r="H152" s="101">
        <f t="shared" si="39"/>
        <v>26.479572355861016</v>
      </c>
      <c r="I152" s="99">
        <f t="shared" si="40"/>
        <v>63380.2284</v>
      </c>
      <c r="J152" s="99">
        <f t="shared" si="41"/>
        <v>1678281.3438487973</v>
      </c>
      <c r="K152" s="99">
        <f t="shared" si="42"/>
        <v>531511.70159691409</v>
      </c>
      <c r="L152" s="99">
        <v>0</v>
      </c>
      <c r="M152" s="99">
        <f t="shared" si="43"/>
        <v>2209793.0454457114</v>
      </c>
      <c r="N152" s="99">
        <v>0</v>
      </c>
      <c r="O152" s="99">
        <f t="shared" si="44"/>
        <v>2209793.0454457114</v>
      </c>
    </row>
    <row r="153" spans="1:15" ht="13.5" customHeight="1" x14ac:dyDescent="0.25">
      <c r="A153" s="105">
        <v>55004</v>
      </c>
      <c r="B153" s="105" t="s">
        <v>345</v>
      </c>
      <c r="C153" s="102">
        <v>248</v>
      </c>
      <c r="D153" s="104">
        <v>0.25</v>
      </c>
      <c r="E153" s="101">
        <f t="shared" si="36"/>
        <v>12.36</v>
      </c>
      <c r="F153" s="101">
        <f t="shared" si="37"/>
        <v>20.064724919093852</v>
      </c>
      <c r="G153" s="101">
        <f t="shared" si="38"/>
        <v>2.0226537216828482E-2</v>
      </c>
      <c r="H153" s="101">
        <f t="shared" si="39"/>
        <v>20.08495145631068</v>
      </c>
      <c r="I153" s="99">
        <f t="shared" si="40"/>
        <v>63380.2284</v>
      </c>
      <c r="J153" s="99">
        <f t="shared" si="41"/>
        <v>1272988.8107038834</v>
      </c>
      <c r="K153" s="99">
        <f t="shared" si="42"/>
        <v>403155.55634991988</v>
      </c>
      <c r="L153" s="99">
        <v>0</v>
      </c>
      <c r="M153" s="99">
        <f t="shared" si="43"/>
        <v>1676144.3670538033</v>
      </c>
      <c r="N153" s="99">
        <v>0</v>
      </c>
      <c r="O153" s="99">
        <f t="shared" si="44"/>
        <v>1676144.3670538033</v>
      </c>
    </row>
    <row r="154" spans="1:15" ht="13.5" customHeight="1" x14ac:dyDescent="0.25">
      <c r="A154" s="105">
        <v>63003</v>
      </c>
      <c r="B154" s="105" t="s">
        <v>346</v>
      </c>
      <c r="C154" s="102">
        <v>2775.69</v>
      </c>
      <c r="D154" s="104">
        <v>10</v>
      </c>
      <c r="E154" s="101">
        <f t="shared" si="36"/>
        <v>15</v>
      </c>
      <c r="F154" s="101">
        <f t="shared" si="37"/>
        <v>185.04599999999999</v>
      </c>
      <c r="G154" s="101">
        <f t="shared" si="38"/>
        <v>0.66666666666666663</v>
      </c>
      <c r="H154" s="101">
        <f t="shared" si="39"/>
        <v>185.71266666666665</v>
      </c>
      <c r="I154" s="99">
        <f t="shared" si="40"/>
        <v>63380.2284</v>
      </c>
      <c r="J154" s="99">
        <f t="shared" si="41"/>
        <v>11770511.230106398</v>
      </c>
      <c r="K154" s="99">
        <f t="shared" si="42"/>
        <v>3727720.9065746963</v>
      </c>
      <c r="L154" s="99">
        <v>0</v>
      </c>
      <c r="M154" s="99">
        <f t="shared" si="43"/>
        <v>15498232.136681095</v>
      </c>
      <c r="N154" s="99">
        <v>0</v>
      </c>
      <c r="O154" s="99">
        <f t="shared" si="44"/>
        <v>15498232.136681095</v>
      </c>
    </row>
    <row r="155" spans="1:15" x14ac:dyDescent="0.25">
      <c r="A155" s="103"/>
      <c r="B155" s="103"/>
      <c r="C155" s="102">
        <f>SUM(C6:C154)</f>
        <v>135343.97999999998</v>
      </c>
      <c r="D155" s="102">
        <f>SUM(D6:D154)</f>
        <v>989.5</v>
      </c>
      <c r="E155" s="100"/>
      <c r="F155" s="101">
        <f>SUM(F6:F154)</f>
        <v>9341.3131896259893</v>
      </c>
      <c r="G155" s="100"/>
      <c r="H155" s="101">
        <f>SUM(H6:H154)</f>
        <v>9409.1364888553235</v>
      </c>
      <c r="I155" s="99"/>
      <c r="J155" s="100"/>
      <c r="K155" s="100"/>
      <c r="L155" s="99">
        <f>SUM(L6:L154)</f>
        <v>118079</v>
      </c>
      <c r="M155" s="99">
        <f>SUM(M6:M154)</f>
        <v>785336363.39271557</v>
      </c>
      <c r="N155" s="99">
        <f>SUM(N6:N154)</f>
        <v>3020611.5006548492</v>
      </c>
      <c r="O155" s="99">
        <f>SUM(O6:O154)</f>
        <v>785415265.57098699</v>
      </c>
    </row>
    <row r="156" spans="1:15" ht="15" thickBot="1" x14ac:dyDescent="0.3">
      <c r="A156" s="98"/>
      <c r="B156" s="98"/>
      <c r="C156" s="87"/>
    </row>
    <row r="157" spans="1:15" s="89" customFormat="1" ht="15.75" thickTop="1" thickBot="1" x14ac:dyDescent="0.3">
      <c r="A157" s="97" t="s">
        <v>187</v>
      </c>
      <c r="B157" s="96" t="s">
        <v>368</v>
      </c>
      <c r="C157" s="95">
        <v>63</v>
      </c>
      <c r="D157" s="94"/>
      <c r="E157" s="93"/>
      <c r="F157" s="93"/>
      <c r="G157" s="93"/>
      <c r="H157" s="92" t="s">
        <v>187</v>
      </c>
      <c r="I157" s="91"/>
      <c r="J157" s="91"/>
      <c r="K157" s="91"/>
      <c r="L157" s="91"/>
      <c r="M157" s="91"/>
      <c r="N157" s="90"/>
      <c r="O157" s="90">
        <f>ROUND(C157*5563.52,0)</f>
        <v>350502</v>
      </c>
    </row>
    <row r="158" spans="1:15" ht="15" thickTop="1" x14ac:dyDescent="0.25"/>
    <row r="159" spans="1:15" x14ac:dyDescent="0.25">
      <c r="C159" s="88"/>
      <c r="O159" s="84">
        <f>O155+O157</f>
        <v>785765767.57098699</v>
      </c>
    </row>
    <row r="160" spans="1:15" x14ac:dyDescent="0.25">
      <c r="C160" s="87"/>
    </row>
  </sheetData>
  <mergeCells count="1">
    <mergeCell ref="A4:B4"/>
  </mergeCells>
  <pageMargins left="0.25" right="0.25" top="0.39" bottom="0.45" header="0.17" footer="0.16"/>
  <pageSetup scale="74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1. Est. Gen State Aid Calc</vt:lpstr>
      <vt:lpstr>2. Revenue Comparison</vt:lpstr>
      <vt:lpstr>3. Prior Year Need Comparison</vt:lpstr>
      <vt:lpstr>4. BRTF v PSA Formula</vt:lpstr>
      <vt:lpstr>SAFE History</vt:lpstr>
      <vt:lpstr>Pay 2019 Valuations</vt:lpstr>
      <vt:lpstr>Other Rev Equalization FY20</vt:lpstr>
      <vt:lpstr>Other Rev Equalization FY19</vt:lpstr>
      <vt:lpstr>FY19 Need Calc</vt:lpstr>
      <vt:lpstr>FY19 State Aid</vt:lpstr>
      <vt:lpstr>FY18 Need Calc</vt:lpstr>
      <vt:lpstr>FY18 State Aid</vt:lpstr>
      <vt:lpstr>FY2017 GSA Need Calculation</vt:lpstr>
      <vt:lpstr>FY17 State Aid</vt:lpstr>
      <vt:lpstr>FY18 Other Rev Actual</vt:lpstr>
      <vt:lpstr>FY17 Other Rev Actual</vt:lpstr>
      <vt:lpstr>District</vt:lpstr>
      <vt:lpstr>'1. Est. Gen State Aid Calc'!Print_Area</vt:lpstr>
      <vt:lpstr>'FY17 State Aid'!Print_Area</vt:lpstr>
      <vt:lpstr>'FY18 Need Calc'!Print_Area</vt:lpstr>
      <vt:lpstr>'FY18 State Aid'!Print_Area</vt:lpstr>
      <vt:lpstr>'FY19 Need Calc'!Print_Area</vt:lpstr>
      <vt:lpstr>'FY19 State Aid'!Print_Area</vt:lpstr>
      <vt:lpstr>'FY2017 GSA Need Calculation'!Print_Area</vt:lpstr>
      <vt:lpstr>'Other Rev Equalization FY20'!Print_Area</vt:lpstr>
      <vt:lpstr>'SAFE History'!Print_Area</vt:lpstr>
      <vt:lpstr>'FY17 State Aid'!Print_Titles</vt:lpstr>
      <vt:lpstr>'FY18 Need Calc'!Print_Titles</vt:lpstr>
      <vt:lpstr>'FY18 State Aid'!Print_Titles</vt:lpstr>
      <vt:lpstr>'FY19 Need Calc'!Print_Titles</vt:lpstr>
      <vt:lpstr>'FY19 State Aid'!Print_Titles</vt:lpstr>
      <vt:lpstr>'FY2017 GSA Need Calculation'!Print_Titles</vt:lpstr>
      <vt:lpstr>'Other Rev Equalization FY20'!Print_Titles</vt:lpstr>
      <vt:lpstr>'SAFE History'!Print_Titles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Darnall, Tamara</dc:creator>
  <cp:lastModifiedBy>Leiferman, Bobbi</cp:lastModifiedBy>
  <cp:lastPrinted>2019-03-19T18:40:48Z</cp:lastPrinted>
  <dcterms:created xsi:type="dcterms:W3CDTF">2015-01-14T17:01:32Z</dcterms:created>
  <dcterms:modified xsi:type="dcterms:W3CDTF">2019-03-20T18:40:15Z</dcterms:modified>
</cp:coreProperties>
</file>